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Nov 04\Documentos Finales - PROTEGIDOS\"/>
    </mc:Choice>
  </mc:AlternateContent>
  <bookViews>
    <workbookView xWindow="0" yWindow="735" windowWidth="25605" windowHeight="14145" tabRatio="939"/>
  </bookViews>
  <sheets>
    <sheet name="PLAN DE INVERSIONES" sheetId="49" r:id="rId1"/>
    <sheet name="COSTOS DETALLADOS" sheetId="50" r:id="rId2"/>
    <sheet name="EXCELENCIA ACADÉMICA" sheetId="47" r:id="rId3"/>
    <sheet name="CIENCIA E INVESTIGACIÓN" sheetId="19" r:id="rId4"/>
    <sheet name="EXTENSIÓN Y GESTIÓN SOCIAL" sheetId="20" r:id="rId5"/>
    <sheet name="ASEGURAMIENTO CALIDAD EDUCACIÓN" sheetId="22" r:id="rId6"/>
    <sheet name="INNOVACION Y PRODUCTIVIDAD " sheetId="2" r:id="rId7"/>
    <sheet name="EMPRENDIMIENTO, CREATIVIDAD " sheetId="17" r:id="rId8"/>
    <sheet name="INTERNACIONALIZACION" sheetId="26" r:id="rId9"/>
    <sheet name="COMUNIDAD Y CULTURA INSTITUCION" sheetId="21" r:id="rId10"/>
    <sheet name="DIVERSIDAD E INCLUSIÓN" sheetId="23" r:id="rId11"/>
    <sheet name="GOBERNABILIDAD Y GOBERNABILIDAD" sheetId="46" r:id="rId12"/>
    <sheet name="DESARROLLOGESTIÓNSOSTENIBILIDAD" sheetId="24" r:id="rId13"/>
    <sheet name="GESTIÓN INTEGRAL INSTITUCIONAL" sheetId="25" r:id="rId14"/>
    <sheet name="Hoja2" sheetId="48" state="hidden" r:id="rId15"/>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K110" i="50" l="1"/>
  <c r="S26" i="26"/>
  <c r="T26" i="26"/>
  <c r="U26" i="26"/>
  <c r="V26" i="26"/>
  <c r="W26" i="26"/>
  <c r="X26" i="26"/>
  <c r="Y26" i="26"/>
  <c r="Z26" i="26"/>
  <c r="T27" i="26"/>
  <c r="U27" i="26"/>
  <c r="V27" i="26"/>
  <c r="W27" i="26"/>
  <c r="X27" i="26"/>
  <c r="Y27" i="26"/>
  <c r="Z27" i="26"/>
  <c r="AA26" i="26"/>
  <c r="C111" i="50"/>
  <c r="F111" i="50"/>
  <c r="F103" i="50"/>
  <c r="C12" i="49"/>
  <c r="K111" i="50"/>
  <c r="K103" i="50"/>
  <c r="H12" i="49"/>
  <c r="D12" i="49"/>
  <c r="E12" i="49"/>
  <c r="F12" i="49"/>
  <c r="G12" i="49"/>
  <c r="I12" i="49"/>
  <c r="J12" i="49"/>
  <c r="K12" i="49"/>
  <c r="L12" i="49"/>
  <c r="M12" i="49"/>
  <c r="N12" i="49"/>
  <c r="O12" i="49"/>
  <c r="C4" i="49"/>
  <c r="D4" i="49"/>
  <c r="E4" i="49"/>
  <c r="F4" i="49"/>
  <c r="G4" i="49"/>
  <c r="H4" i="49"/>
  <c r="I4" i="49"/>
  <c r="J4" i="49"/>
  <c r="K4" i="49"/>
  <c r="L4" i="49"/>
  <c r="M4" i="49"/>
  <c r="N4" i="49"/>
  <c r="O4" i="49"/>
  <c r="C5" i="49"/>
  <c r="D5" i="49"/>
  <c r="E5" i="49"/>
  <c r="F5" i="49"/>
  <c r="G5" i="49"/>
  <c r="H5" i="49"/>
  <c r="I5" i="49"/>
  <c r="J5" i="49"/>
  <c r="K5" i="49"/>
  <c r="L5" i="49"/>
  <c r="M5" i="49"/>
  <c r="N5" i="49"/>
  <c r="O5" i="49"/>
  <c r="C6" i="49"/>
  <c r="D6" i="49"/>
  <c r="E6" i="49"/>
  <c r="F6" i="49"/>
  <c r="G6" i="49"/>
  <c r="H6" i="49"/>
  <c r="I6" i="49"/>
  <c r="J6" i="49"/>
  <c r="K6" i="49"/>
  <c r="L6" i="49"/>
  <c r="M6" i="49"/>
  <c r="S8" i="20"/>
  <c r="T8" i="20"/>
  <c r="U8" i="20"/>
  <c r="V8" i="20"/>
  <c r="W8" i="20"/>
  <c r="X8" i="20"/>
  <c r="Y8" i="20"/>
  <c r="Z8" i="20"/>
  <c r="AA7" i="20"/>
  <c r="C47" i="50"/>
  <c r="Q47" i="50"/>
  <c r="Q42" i="50"/>
  <c r="N6" i="49"/>
  <c r="O6" i="49"/>
  <c r="C7" i="49"/>
  <c r="D7" i="49"/>
  <c r="E7" i="49"/>
  <c r="F7" i="49"/>
  <c r="G7" i="49"/>
  <c r="H7" i="49"/>
  <c r="I7" i="49"/>
  <c r="J7" i="49"/>
  <c r="K7" i="49"/>
  <c r="L7" i="49"/>
  <c r="M7" i="49"/>
  <c r="N7" i="49"/>
  <c r="O7" i="49"/>
  <c r="C9" i="49"/>
  <c r="D9" i="49"/>
  <c r="E9" i="49"/>
  <c r="F9" i="49"/>
  <c r="G9" i="49"/>
  <c r="H9" i="49"/>
  <c r="I9" i="49"/>
  <c r="J9" i="49"/>
  <c r="K9" i="49"/>
  <c r="L9" i="49"/>
  <c r="M9" i="49"/>
  <c r="N9" i="49"/>
  <c r="O9" i="49"/>
  <c r="C10" i="49"/>
  <c r="D10" i="49"/>
  <c r="E10" i="49"/>
  <c r="F10" i="49"/>
  <c r="G10" i="49"/>
  <c r="H10" i="49"/>
  <c r="I10" i="49"/>
  <c r="J10" i="49"/>
  <c r="K10" i="49"/>
  <c r="L10" i="49"/>
  <c r="M10" i="49"/>
  <c r="N10" i="49"/>
  <c r="O10" i="49"/>
  <c r="C14" i="49"/>
  <c r="D14" i="49"/>
  <c r="E14" i="49"/>
  <c r="F14" i="49"/>
  <c r="G14" i="49"/>
  <c r="H14" i="49"/>
  <c r="I14" i="49"/>
  <c r="J14" i="49"/>
  <c r="K14" i="49"/>
  <c r="L14" i="49"/>
  <c r="M14" i="49"/>
  <c r="N14" i="49"/>
  <c r="O14" i="49"/>
  <c r="C15" i="49"/>
  <c r="D15" i="49"/>
  <c r="E15" i="49"/>
  <c r="F15" i="49"/>
  <c r="G15" i="49"/>
  <c r="H15" i="49"/>
  <c r="I15" i="49"/>
  <c r="J15" i="49"/>
  <c r="K15" i="49"/>
  <c r="L15" i="49"/>
  <c r="M15" i="49"/>
  <c r="N15" i="49"/>
  <c r="O15" i="49"/>
  <c r="C17" i="49"/>
  <c r="D17" i="49"/>
  <c r="E17" i="49"/>
  <c r="F17" i="49"/>
  <c r="G17" i="49"/>
  <c r="H17" i="49"/>
  <c r="I17" i="49"/>
  <c r="J17" i="49"/>
  <c r="K17" i="49"/>
  <c r="L17" i="49"/>
  <c r="M17" i="49"/>
  <c r="N17" i="49"/>
  <c r="O17" i="49"/>
  <c r="C18" i="49"/>
  <c r="D18" i="49"/>
  <c r="E18" i="49"/>
  <c r="F18" i="49"/>
  <c r="G18" i="49"/>
  <c r="H18" i="49"/>
  <c r="I18" i="49"/>
  <c r="J18" i="49"/>
  <c r="K18" i="49"/>
  <c r="L18" i="49"/>
  <c r="M18" i="49"/>
  <c r="N18" i="49"/>
  <c r="O18" i="49"/>
  <c r="C19" i="49"/>
  <c r="D19" i="49"/>
  <c r="E19" i="49"/>
  <c r="F19" i="49"/>
  <c r="G19" i="49"/>
  <c r="H19" i="49"/>
  <c r="I19" i="49"/>
  <c r="J19" i="49"/>
  <c r="K19" i="49"/>
  <c r="L19" i="49"/>
  <c r="M19" i="49"/>
  <c r="N19" i="49"/>
  <c r="O19" i="49"/>
  <c r="O20" i="49"/>
  <c r="G114" i="50"/>
  <c r="H114" i="50"/>
  <c r="I114" i="50"/>
  <c r="J114" i="50"/>
  <c r="K114" i="50"/>
  <c r="L114" i="50"/>
  <c r="M114" i="50"/>
  <c r="N114" i="50"/>
  <c r="O114" i="50"/>
  <c r="P114" i="50"/>
  <c r="Q114" i="50"/>
  <c r="F114" i="50"/>
  <c r="F66" i="50"/>
  <c r="T24" i="26"/>
  <c r="U24" i="26"/>
  <c r="V24" i="26"/>
  <c r="W24" i="26"/>
  <c r="X24" i="26"/>
  <c r="Y24" i="26"/>
  <c r="S24" i="26"/>
  <c r="T23" i="26"/>
  <c r="U23" i="26"/>
  <c r="V23" i="26"/>
  <c r="W23" i="26"/>
  <c r="X23" i="26"/>
  <c r="Y23" i="26"/>
  <c r="S23" i="26"/>
  <c r="H171" i="50"/>
  <c r="I171" i="50"/>
  <c r="J171" i="50"/>
  <c r="S6" i="25"/>
  <c r="R2" i="25"/>
  <c r="T6" i="25"/>
  <c r="U6" i="25"/>
  <c r="V6" i="25"/>
  <c r="W6" i="25"/>
  <c r="X6" i="25"/>
  <c r="Y6" i="25"/>
  <c r="Z6" i="25"/>
  <c r="S7" i="25"/>
  <c r="T7" i="25"/>
  <c r="U7" i="25"/>
  <c r="V7" i="25"/>
  <c r="W7" i="25"/>
  <c r="X7" i="25"/>
  <c r="Y7" i="25"/>
  <c r="Z7" i="25"/>
  <c r="AA6" i="25"/>
  <c r="C174" i="50"/>
  <c r="K174" i="50"/>
  <c r="S8" i="25"/>
  <c r="T8" i="25"/>
  <c r="U8" i="25"/>
  <c r="V8" i="25"/>
  <c r="W8" i="25"/>
  <c r="X8" i="25"/>
  <c r="Y8" i="25"/>
  <c r="Z8" i="25"/>
  <c r="S9" i="25"/>
  <c r="T9" i="25"/>
  <c r="U9" i="25"/>
  <c r="V9" i="25"/>
  <c r="W9" i="25"/>
  <c r="X9" i="25"/>
  <c r="Y9" i="25"/>
  <c r="Z9" i="25"/>
  <c r="S10" i="25"/>
  <c r="T10" i="25"/>
  <c r="U10" i="25"/>
  <c r="V10" i="25"/>
  <c r="W10" i="25"/>
  <c r="X10" i="25"/>
  <c r="Y10" i="25"/>
  <c r="Z10" i="25"/>
  <c r="AA8" i="25"/>
  <c r="C176" i="50"/>
  <c r="K176" i="50"/>
  <c r="S11" i="25"/>
  <c r="T11" i="25"/>
  <c r="U11" i="25"/>
  <c r="V11" i="25"/>
  <c r="W11" i="25"/>
  <c r="X11" i="25"/>
  <c r="Y11" i="25"/>
  <c r="Z11" i="25"/>
  <c r="S12" i="25"/>
  <c r="T12" i="25"/>
  <c r="U12" i="25"/>
  <c r="V12" i="25"/>
  <c r="W12" i="25"/>
  <c r="X12" i="25"/>
  <c r="Y12" i="25"/>
  <c r="Z12" i="25"/>
  <c r="S13" i="25"/>
  <c r="T13" i="25"/>
  <c r="U13" i="25"/>
  <c r="V13" i="25"/>
  <c r="W13" i="25"/>
  <c r="X13" i="25"/>
  <c r="Y13" i="25"/>
  <c r="Z13" i="25"/>
  <c r="AA11" i="25"/>
  <c r="C177" i="50"/>
  <c r="K177" i="50"/>
  <c r="S14" i="25"/>
  <c r="T14" i="25"/>
  <c r="U14" i="25"/>
  <c r="V14" i="25"/>
  <c r="W14" i="25"/>
  <c r="X14" i="25"/>
  <c r="Y14" i="25"/>
  <c r="Z14" i="25"/>
  <c r="S15" i="25"/>
  <c r="T15" i="25"/>
  <c r="U15" i="25"/>
  <c r="V15" i="25"/>
  <c r="W15" i="25"/>
  <c r="X15" i="25"/>
  <c r="Y15" i="25"/>
  <c r="Z15" i="25"/>
  <c r="S16" i="25"/>
  <c r="Q16" i="25"/>
  <c r="T16" i="25"/>
  <c r="U16" i="25"/>
  <c r="V16" i="25"/>
  <c r="W16" i="25"/>
  <c r="X16" i="25"/>
  <c r="Y16" i="25"/>
  <c r="Z16" i="25"/>
  <c r="S17" i="25"/>
  <c r="T17" i="25"/>
  <c r="U17" i="25"/>
  <c r="V17" i="25"/>
  <c r="W17" i="25"/>
  <c r="X17" i="25"/>
  <c r="Y17" i="25"/>
  <c r="Z17" i="25"/>
  <c r="AA14" i="25"/>
  <c r="C178" i="50"/>
  <c r="K178" i="50"/>
  <c r="S18" i="25"/>
  <c r="T18" i="25"/>
  <c r="U18" i="25"/>
  <c r="V18" i="25"/>
  <c r="W18" i="25"/>
  <c r="X18" i="25"/>
  <c r="Y18" i="25"/>
  <c r="Z18" i="25"/>
  <c r="S19" i="25"/>
  <c r="T19" i="25"/>
  <c r="U19" i="25"/>
  <c r="V19" i="25"/>
  <c r="W19" i="25"/>
  <c r="X19" i="25"/>
  <c r="Y19" i="25"/>
  <c r="Z19" i="25"/>
  <c r="AA18" i="25"/>
  <c r="C179" i="50"/>
  <c r="K179" i="50"/>
  <c r="S20" i="25"/>
  <c r="T20" i="25"/>
  <c r="U20" i="25"/>
  <c r="V20" i="25"/>
  <c r="W20" i="25"/>
  <c r="X20" i="25"/>
  <c r="Y20" i="25"/>
  <c r="Z20" i="25"/>
  <c r="S21" i="25"/>
  <c r="T21" i="25"/>
  <c r="U21" i="25"/>
  <c r="V21" i="25"/>
  <c r="W21" i="25"/>
  <c r="X21" i="25"/>
  <c r="Y21" i="25"/>
  <c r="Z21" i="25"/>
  <c r="AA20" i="25"/>
  <c r="C180" i="50"/>
  <c r="K180" i="50"/>
  <c r="S23" i="25"/>
  <c r="T23" i="25"/>
  <c r="U23" i="25"/>
  <c r="V23" i="25"/>
  <c r="W23" i="25"/>
  <c r="X23" i="25"/>
  <c r="Y23" i="25"/>
  <c r="Z23" i="25"/>
  <c r="S24" i="25"/>
  <c r="T24" i="25"/>
  <c r="U24" i="25"/>
  <c r="V24" i="25"/>
  <c r="W24" i="25"/>
  <c r="X24" i="25"/>
  <c r="Y24" i="25"/>
  <c r="Z24" i="25"/>
  <c r="S25" i="25"/>
  <c r="T25" i="25"/>
  <c r="U25" i="25"/>
  <c r="V25" i="25"/>
  <c r="W25" i="25"/>
  <c r="X25" i="25"/>
  <c r="Y25" i="25"/>
  <c r="Z25" i="25"/>
  <c r="AA23" i="25"/>
  <c r="C183" i="50"/>
  <c r="K183" i="50"/>
  <c r="S26" i="25"/>
  <c r="T26" i="25"/>
  <c r="U26" i="25"/>
  <c r="V26" i="25"/>
  <c r="W26" i="25"/>
  <c r="X26" i="25"/>
  <c r="Y26" i="25"/>
  <c r="Z26" i="25"/>
  <c r="AA26" i="25"/>
  <c r="C185" i="50"/>
  <c r="K185" i="50"/>
  <c r="K171" i="50"/>
  <c r="L171" i="50"/>
  <c r="M171" i="50"/>
  <c r="N171" i="50"/>
  <c r="O171" i="50"/>
  <c r="P171" i="50"/>
  <c r="Q171" i="50"/>
  <c r="H162" i="50"/>
  <c r="I162" i="50"/>
  <c r="J162" i="50"/>
  <c r="C167" i="50"/>
  <c r="K167" i="50"/>
  <c r="C169" i="50"/>
  <c r="K169" i="50"/>
  <c r="C170" i="50"/>
  <c r="K170" i="50"/>
  <c r="K162" i="50"/>
  <c r="L162" i="50"/>
  <c r="M162" i="50"/>
  <c r="N162" i="50"/>
  <c r="O162" i="50"/>
  <c r="P162" i="50"/>
  <c r="C164" i="50"/>
  <c r="Q164" i="50"/>
  <c r="C165" i="50"/>
  <c r="Q165" i="50"/>
  <c r="Q162" i="50"/>
  <c r="G162" i="50"/>
  <c r="H143" i="50"/>
  <c r="I143" i="50"/>
  <c r="C152" i="50"/>
  <c r="J152" i="50"/>
  <c r="J143" i="50"/>
  <c r="C160" i="50"/>
  <c r="K160" i="50"/>
  <c r="K143" i="50"/>
  <c r="L143" i="50"/>
  <c r="M143" i="50"/>
  <c r="N143" i="50"/>
  <c r="O143" i="50"/>
  <c r="P143" i="50"/>
  <c r="S9" i="46"/>
  <c r="T9" i="46"/>
  <c r="U9" i="46"/>
  <c r="V9" i="46"/>
  <c r="W9" i="46"/>
  <c r="X9" i="46"/>
  <c r="Y9" i="46"/>
  <c r="Z9" i="46"/>
  <c r="AA9" i="46"/>
  <c r="C147" i="50"/>
  <c r="Q147" i="50"/>
  <c r="C145" i="50"/>
  <c r="Q145" i="50"/>
  <c r="C146" i="50"/>
  <c r="Q146" i="50"/>
  <c r="C149" i="50"/>
  <c r="Q149" i="50"/>
  <c r="C150" i="50"/>
  <c r="Q150" i="50"/>
  <c r="C151" i="50"/>
  <c r="Q151" i="50"/>
  <c r="C153" i="50"/>
  <c r="Q153" i="50"/>
  <c r="C155" i="50"/>
  <c r="Q155" i="50"/>
  <c r="C157" i="50"/>
  <c r="Q157" i="50"/>
  <c r="C158" i="50"/>
  <c r="Q158" i="50"/>
  <c r="Q143" i="50"/>
  <c r="H132" i="50"/>
  <c r="I132" i="50"/>
  <c r="J132" i="50"/>
  <c r="C139" i="50"/>
  <c r="K139" i="50"/>
  <c r="K132" i="50"/>
  <c r="L132" i="50"/>
  <c r="M132" i="50"/>
  <c r="C135" i="50"/>
  <c r="N135" i="50"/>
  <c r="N132" i="50"/>
  <c r="O132" i="50"/>
  <c r="P132" i="50"/>
  <c r="C134" i="50"/>
  <c r="Q134" i="50"/>
  <c r="C137" i="50"/>
  <c r="Q137" i="50"/>
  <c r="C138" i="50"/>
  <c r="Q138" i="50"/>
  <c r="C141" i="50"/>
  <c r="Q141" i="50"/>
  <c r="Q132" i="50"/>
  <c r="S6" i="21"/>
  <c r="R2" i="21"/>
  <c r="T6" i="21"/>
  <c r="U6" i="21"/>
  <c r="V6" i="21"/>
  <c r="W6" i="21"/>
  <c r="X6" i="21"/>
  <c r="Y6" i="21"/>
  <c r="Z6" i="21"/>
  <c r="AA6" i="21"/>
  <c r="C117" i="50"/>
  <c r="J117" i="50"/>
  <c r="S7" i="21"/>
  <c r="T7" i="21"/>
  <c r="U7" i="21"/>
  <c r="V7" i="21"/>
  <c r="W7" i="21"/>
  <c r="X7" i="21"/>
  <c r="Y7" i="21"/>
  <c r="Z7" i="21"/>
  <c r="AA7" i="21"/>
  <c r="C119" i="50"/>
  <c r="J119" i="50"/>
  <c r="S8" i="21"/>
  <c r="T8" i="21"/>
  <c r="U8" i="21"/>
  <c r="V8" i="21"/>
  <c r="W8" i="21"/>
  <c r="X8" i="21"/>
  <c r="Y8" i="21"/>
  <c r="Z8" i="21"/>
  <c r="AA8" i="21"/>
  <c r="C120" i="50"/>
  <c r="J120" i="50"/>
  <c r="S9" i="21"/>
  <c r="T9" i="21"/>
  <c r="U9" i="21"/>
  <c r="V9" i="21"/>
  <c r="W9" i="21"/>
  <c r="X9" i="21"/>
  <c r="Y9" i="21"/>
  <c r="Z9" i="21"/>
  <c r="S10" i="21"/>
  <c r="T10" i="21"/>
  <c r="U10" i="21"/>
  <c r="V10" i="21"/>
  <c r="W10" i="21"/>
  <c r="X10" i="21"/>
  <c r="Y10" i="21"/>
  <c r="Z10" i="21"/>
  <c r="AA9" i="21"/>
  <c r="C122" i="50"/>
  <c r="J122" i="50"/>
  <c r="S11" i="21"/>
  <c r="T11" i="21"/>
  <c r="U11" i="21"/>
  <c r="V11" i="21"/>
  <c r="W11" i="21"/>
  <c r="X11" i="21"/>
  <c r="Y11" i="21"/>
  <c r="Z11" i="21"/>
  <c r="AA11" i="21"/>
  <c r="C123" i="50"/>
  <c r="J123" i="50"/>
  <c r="S13" i="21"/>
  <c r="T13" i="21"/>
  <c r="U13" i="21"/>
  <c r="V13" i="21"/>
  <c r="W13" i="21"/>
  <c r="X13" i="21"/>
  <c r="Y13" i="21"/>
  <c r="Z13" i="21"/>
  <c r="AA13" i="21"/>
  <c r="C126" i="50"/>
  <c r="J126" i="50"/>
  <c r="S14" i="21"/>
  <c r="T14" i="21"/>
  <c r="U14" i="21"/>
  <c r="V14" i="21"/>
  <c r="W14" i="21"/>
  <c r="X14" i="21"/>
  <c r="Y14" i="21"/>
  <c r="Z14" i="21"/>
  <c r="S15" i="21"/>
  <c r="T15" i="21"/>
  <c r="U15" i="21"/>
  <c r="V15" i="21"/>
  <c r="W15" i="21"/>
  <c r="X15" i="21"/>
  <c r="Y15" i="21"/>
  <c r="Z15" i="21"/>
  <c r="AA14" i="21"/>
  <c r="C127" i="50"/>
  <c r="J127" i="50"/>
  <c r="S25" i="21"/>
  <c r="T25" i="21"/>
  <c r="U25" i="21"/>
  <c r="V25" i="21"/>
  <c r="W25" i="21"/>
  <c r="X25" i="21"/>
  <c r="Y25" i="21"/>
  <c r="Z25" i="21"/>
  <c r="S26" i="21"/>
  <c r="T26" i="21"/>
  <c r="U26" i="21"/>
  <c r="V26" i="21"/>
  <c r="W26" i="21"/>
  <c r="X26" i="21"/>
  <c r="Y26" i="21"/>
  <c r="Z26" i="21"/>
  <c r="AA25" i="21"/>
  <c r="C130" i="50"/>
  <c r="K130" i="50"/>
  <c r="O122" i="50"/>
  <c r="S16" i="21"/>
  <c r="T16" i="21"/>
  <c r="U16" i="21"/>
  <c r="V16" i="21"/>
  <c r="W16" i="21"/>
  <c r="X16" i="21"/>
  <c r="Y16" i="21"/>
  <c r="Z16" i="21"/>
  <c r="S17" i="21"/>
  <c r="T17" i="21"/>
  <c r="U17" i="21"/>
  <c r="V17" i="21"/>
  <c r="W17" i="21"/>
  <c r="X17" i="21"/>
  <c r="Y17" i="21"/>
  <c r="Z17" i="21"/>
  <c r="S18" i="21"/>
  <c r="T18" i="21"/>
  <c r="U18" i="21"/>
  <c r="V18" i="21"/>
  <c r="W18" i="21"/>
  <c r="X18" i="21"/>
  <c r="Y18" i="21"/>
  <c r="Z18" i="21"/>
  <c r="S19" i="21"/>
  <c r="T19" i="21"/>
  <c r="U19" i="21"/>
  <c r="V19" i="21"/>
  <c r="W19" i="21"/>
  <c r="X19" i="21"/>
  <c r="Y19" i="21"/>
  <c r="Z19" i="21"/>
  <c r="S20" i="21"/>
  <c r="T20" i="21"/>
  <c r="U20" i="21"/>
  <c r="V20" i="21"/>
  <c r="W20" i="21"/>
  <c r="X20" i="21"/>
  <c r="Y20" i="21"/>
  <c r="Z20" i="21"/>
  <c r="S21" i="21"/>
  <c r="T21" i="21"/>
  <c r="U21" i="21"/>
  <c r="V21" i="21"/>
  <c r="W21" i="21"/>
  <c r="X21" i="21"/>
  <c r="Y21" i="21"/>
  <c r="Z21" i="21"/>
  <c r="S22" i="21"/>
  <c r="T22" i="21"/>
  <c r="U22" i="21"/>
  <c r="V22" i="21"/>
  <c r="W22" i="21"/>
  <c r="X22" i="21"/>
  <c r="Y22" i="21"/>
  <c r="Z22" i="21"/>
  <c r="S23" i="21"/>
  <c r="T23" i="21"/>
  <c r="U23" i="21"/>
  <c r="V23" i="21"/>
  <c r="W23" i="21"/>
  <c r="X23" i="21"/>
  <c r="Y23" i="21"/>
  <c r="Z23" i="21"/>
  <c r="S24" i="21"/>
  <c r="T24" i="21"/>
  <c r="U24" i="21"/>
  <c r="V24" i="21"/>
  <c r="W24" i="21"/>
  <c r="X24" i="21"/>
  <c r="Y24" i="21"/>
  <c r="Z24" i="21"/>
  <c r="AA16" i="21"/>
  <c r="C129" i="50"/>
  <c r="O129" i="50"/>
  <c r="P126" i="50"/>
  <c r="S5" i="21"/>
  <c r="T5" i="21"/>
  <c r="U5" i="21"/>
  <c r="V5" i="21"/>
  <c r="W5" i="21"/>
  <c r="X5" i="21"/>
  <c r="Y5" i="21"/>
  <c r="Z5" i="21"/>
  <c r="AA5" i="21"/>
  <c r="C116" i="50"/>
  <c r="Q116" i="50"/>
  <c r="S12" i="21"/>
  <c r="T12" i="21"/>
  <c r="U12" i="21"/>
  <c r="V12" i="21"/>
  <c r="W12" i="21"/>
  <c r="X12" i="21"/>
  <c r="Y12" i="21"/>
  <c r="Z12" i="21"/>
  <c r="AA12" i="21"/>
  <c r="C124" i="50"/>
  <c r="Q124" i="50"/>
  <c r="S27" i="21"/>
  <c r="T27" i="21"/>
  <c r="U27" i="21"/>
  <c r="V27" i="21"/>
  <c r="W27" i="21"/>
  <c r="X27" i="21"/>
  <c r="Y27" i="21"/>
  <c r="Z27" i="21"/>
  <c r="AA27" i="21"/>
  <c r="C131" i="50"/>
  <c r="Q131" i="50"/>
  <c r="H103" i="50"/>
  <c r="I103" i="50"/>
  <c r="J103" i="50"/>
  <c r="S27" i="26"/>
  <c r="R2" i="26"/>
  <c r="S28" i="26"/>
  <c r="T28" i="26"/>
  <c r="U28" i="26"/>
  <c r="V28" i="26"/>
  <c r="W28" i="26"/>
  <c r="X28" i="26"/>
  <c r="Y28" i="26"/>
  <c r="Z28" i="26"/>
  <c r="AA28" i="26"/>
  <c r="C112" i="50"/>
  <c r="K112" i="50"/>
  <c r="L103" i="50"/>
  <c r="M103" i="50"/>
  <c r="N103" i="50"/>
  <c r="O103" i="50"/>
  <c r="S10" i="26"/>
  <c r="T10" i="26"/>
  <c r="U10" i="26"/>
  <c r="V10" i="26"/>
  <c r="W10" i="26"/>
  <c r="X10" i="26"/>
  <c r="Y10" i="26"/>
  <c r="Z10" i="26"/>
  <c r="S11" i="26"/>
  <c r="T11" i="26"/>
  <c r="U11" i="26"/>
  <c r="V11" i="26"/>
  <c r="W11" i="26"/>
  <c r="X11" i="26"/>
  <c r="Y11" i="26"/>
  <c r="Z11" i="26"/>
  <c r="S12" i="26"/>
  <c r="T12" i="26"/>
  <c r="U12" i="26"/>
  <c r="V12" i="26"/>
  <c r="W12" i="26"/>
  <c r="X12" i="26"/>
  <c r="Y12" i="26"/>
  <c r="Z12" i="26"/>
  <c r="S13" i="26"/>
  <c r="T13" i="26"/>
  <c r="U13" i="26"/>
  <c r="V13" i="26"/>
  <c r="W13" i="26"/>
  <c r="X13" i="26"/>
  <c r="Y13" i="26"/>
  <c r="Z13" i="26"/>
  <c r="S14" i="26"/>
  <c r="T14" i="26"/>
  <c r="U14" i="26"/>
  <c r="V14" i="26"/>
  <c r="W14" i="26"/>
  <c r="X14" i="26"/>
  <c r="Y14" i="26"/>
  <c r="Z14" i="26"/>
  <c r="S15" i="26"/>
  <c r="T15" i="26"/>
  <c r="U15" i="26"/>
  <c r="V15" i="26"/>
  <c r="W15" i="26"/>
  <c r="X15" i="26"/>
  <c r="Y15" i="26"/>
  <c r="Z15" i="26"/>
  <c r="S16" i="26"/>
  <c r="T16" i="26"/>
  <c r="U16" i="26"/>
  <c r="V16" i="26"/>
  <c r="W16" i="26"/>
  <c r="X16" i="26"/>
  <c r="Y16" i="26"/>
  <c r="Z16" i="26"/>
  <c r="S17" i="26"/>
  <c r="T17" i="26"/>
  <c r="U17" i="26"/>
  <c r="V17" i="26"/>
  <c r="W17" i="26"/>
  <c r="X17" i="26"/>
  <c r="Y17" i="26"/>
  <c r="Z17" i="26"/>
  <c r="S18" i="26"/>
  <c r="T18" i="26"/>
  <c r="U18" i="26"/>
  <c r="V18" i="26"/>
  <c r="W18" i="26"/>
  <c r="X18" i="26"/>
  <c r="Y18" i="26"/>
  <c r="Z18" i="26"/>
  <c r="S19" i="26"/>
  <c r="T19" i="26"/>
  <c r="U19" i="26"/>
  <c r="V19" i="26"/>
  <c r="W19" i="26"/>
  <c r="X19" i="26"/>
  <c r="Y19" i="26"/>
  <c r="Z19" i="26"/>
  <c r="S20" i="26"/>
  <c r="T20" i="26"/>
  <c r="U20" i="26"/>
  <c r="V20" i="26"/>
  <c r="W20" i="26"/>
  <c r="X20" i="26"/>
  <c r="Y20" i="26"/>
  <c r="Z20" i="26"/>
  <c r="AA10" i="26"/>
  <c r="C107" i="50"/>
  <c r="P107" i="50"/>
  <c r="P103" i="50"/>
  <c r="S8" i="26"/>
  <c r="T8" i="26"/>
  <c r="U8" i="26"/>
  <c r="V8" i="26"/>
  <c r="W8" i="26"/>
  <c r="X8" i="26"/>
  <c r="Y8" i="26"/>
  <c r="Z8" i="26"/>
  <c r="S5" i="26"/>
  <c r="T5" i="26"/>
  <c r="U5" i="26"/>
  <c r="V5" i="26"/>
  <c r="W5" i="26"/>
  <c r="X5" i="26"/>
  <c r="Y5" i="26"/>
  <c r="Z5" i="26"/>
  <c r="S6" i="26"/>
  <c r="T6" i="26"/>
  <c r="U6" i="26"/>
  <c r="V6" i="26"/>
  <c r="W6" i="26"/>
  <c r="X6" i="26"/>
  <c r="Y6" i="26"/>
  <c r="Z6" i="26"/>
  <c r="S7" i="26"/>
  <c r="T7" i="26"/>
  <c r="U7" i="26"/>
  <c r="V7" i="26"/>
  <c r="W7" i="26"/>
  <c r="X7" i="26"/>
  <c r="Y7" i="26"/>
  <c r="Z7" i="26"/>
  <c r="S9" i="26"/>
  <c r="T9" i="26"/>
  <c r="U9" i="26"/>
  <c r="V9" i="26"/>
  <c r="W9" i="26"/>
  <c r="X9" i="26"/>
  <c r="Y9" i="26"/>
  <c r="Z9" i="26"/>
  <c r="AA5" i="26"/>
  <c r="C105" i="50"/>
  <c r="Q105" i="50"/>
  <c r="S21" i="26"/>
  <c r="T21" i="26"/>
  <c r="U21" i="26"/>
  <c r="V21" i="26"/>
  <c r="W21" i="26"/>
  <c r="X21" i="26"/>
  <c r="Y21" i="26"/>
  <c r="Z21" i="26"/>
  <c r="S22" i="26"/>
  <c r="T22" i="26"/>
  <c r="U22" i="26"/>
  <c r="V22" i="26"/>
  <c r="W22" i="26"/>
  <c r="X22" i="26"/>
  <c r="Y22" i="26"/>
  <c r="Z22" i="26"/>
  <c r="AA21" i="26"/>
  <c r="C108" i="50"/>
  <c r="Q108" i="50"/>
  <c r="Q103" i="50"/>
  <c r="H97" i="50"/>
  <c r="C99" i="50"/>
  <c r="I99" i="50"/>
  <c r="C101" i="50"/>
  <c r="I101" i="50"/>
  <c r="I97" i="50"/>
  <c r="J97" i="50"/>
  <c r="K99" i="50"/>
  <c r="K101" i="50"/>
  <c r="K97" i="50"/>
  <c r="L97" i="50"/>
  <c r="M97" i="50"/>
  <c r="N97" i="50"/>
  <c r="O97" i="50"/>
  <c r="P97" i="50"/>
  <c r="C100" i="50"/>
  <c r="Q100" i="50"/>
  <c r="Q97" i="50"/>
  <c r="C78" i="50"/>
  <c r="H78" i="50"/>
  <c r="C79" i="50"/>
  <c r="H79" i="50"/>
  <c r="C84" i="50"/>
  <c r="H84" i="50"/>
  <c r="C95" i="50"/>
  <c r="H95" i="50"/>
  <c r="H76" i="50"/>
  <c r="I76" i="50"/>
  <c r="J76" i="50"/>
  <c r="K76" i="50"/>
  <c r="C89" i="50"/>
  <c r="L89" i="50"/>
  <c r="C90" i="50"/>
  <c r="L90" i="50"/>
  <c r="C91" i="50"/>
  <c r="L91" i="50"/>
  <c r="L76" i="50"/>
  <c r="M76" i="50"/>
  <c r="N76" i="50"/>
  <c r="C82" i="50"/>
  <c r="O82" i="50"/>
  <c r="O76" i="50"/>
  <c r="P76" i="50"/>
  <c r="C81" i="50"/>
  <c r="Q81" i="50"/>
  <c r="C85" i="50"/>
  <c r="Q85" i="50"/>
  <c r="C86" i="50"/>
  <c r="Q86" i="50"/>
  <c r="C87" i="50"/>
  <c r="Q87" i="50"/>
  <c r="C92" i="50"/>
  <c r="Q92" i="50"/>
  <c r="C94" i="50"/>
  <c r="Q94" i="50"/>
  <c r="C96" i="50"/>
  <c r="Q96" i="50"/>
  <c r="Q76" i="50"/>
  <c r="C7" i="50"/>
  <c r="H7" i="50"/>
  <c r="H5" i="50"/>
  <c r="C29" i="50"/>
  <c r="H29" i="50"/>
  <c r="C30" i="50"/>
  <c r="H30" i="50"/>
  <c r="C31" i="50"/>
  <c r="H31" i="50"/>
  <c r="C32" i="50"/>
  <c r="H32" i="50"/>
  <c r="C41" i="50"/>
  <c r="H41" i="50"/>
  <c r="H27" i="50"/>
  <c r="C51" i="50"/>
  <c r="H51" i="50"/>
  <c r="C53" i="50"/>
  <c r="H53" i="50"/>
  <c r="C54" i="50"/>
  <c r="H54" i="50"/>
  <c r="C56" i="50"/>
  <c r="H56" i="50"/>
  <c r="H42" i="50"/>
  <c r="H66" i="50"/>
  <c r="E20" i="49"/>
  <c r="I5" i="50"/>
  <c r="I27" i="50"/>
  <c r="I42" i="50"/>
  <c r="I66" i="50"/>
  <c r="F20" i="49"/>
  <c r="J7" i="50"/>
  <c r="J5" i="50"/>
  <c r="J27" i="50"/>
  <c r="J42" i="50"/>
  <c r="J66" i="50"/>
  <c r="G20" i="49"/>
  <c r="K5" i="50"/>
  <c r="K27" i="50"/>
  <c r="C57" i="50"/>
  <c r="K57" i="50"/>
  <c r="C59" i="50"/>
  <c r="K59" i="50"/>
  <c r="K42" i="50"/>
  <c r="K66" i="50"/>
  <c r="H20" i="49"/>
  <c r="L5" i="50"/>
  <c r="L27" i="50"/>
  <c r="L42" i="50"/>
  <c r="L66" i="50"/>
  <c r="I20" i="49"/>
  <c r="S22" i="47"/>
  <c r="T22" i="47"/>
  <c r="U22" i="47"/>
  <c r="V22" i="47"/>
  <c r="W22" i="47"/>
  <c r="X22" i="47"/>
  <c r="Y22" i="47"/>
  <c r="Z22" i="47"/>
  <c r="S24" i="47"/>
  <c r="T24" i="47"/>
  <c r="U24" i="47"/>
  <c r="V24" i="47"/>
  <c r="W24" i="47"/>
  <c r="X24" i="47"/>
  <c r="Y24" i="47"/>
  <c r="Z24" i="47"/>
  <c r="AA22" i="47"/>
  <c r="C23" i="50"/>
  <c r="M23" i="50"/>
  <c r="M5" i="50"/>
  <c r="M27" i="50"/>
  <c r="M42" i="50"/>
  <c r="M66" i="50"/>
  <c r="J20" i="49"/>
  <c r="N5" i="50"/>
  <c r="N27" i="50"/>
  <c r="N42" i="50"/>
  <c r="N66" i="50"/>
  <c r="K20" i="49"/>
  <c r="O5" i="50"/>
  <c r="O27" i="50"/>
  <c r="O42" i="50"/>
  <c r="O66" i="50"/>
  <c r="L20" i="49"/>
  <c r="P5" i="50"/>
  <c r="P27" i="50"/>
  <c r="P42" i="50"/>
  <c r="C70" i="50"/>
  <c r="P70" i="50"/>
  <c r="C72" i="50"/>
  <c r="P72" i="50"/>
  <c r="P66" i="50"/>
  <c r="M20" i="49"/>
  <c r="C8" i="50"/>
  <c r="Q8" i="50"/>
  <c r="C10" i="50"/>
  <c r="Q10" i="50"/>
  <c r="C11" i="50"/>
  <c r="Q11" i="50"/>
  <c r="C12" i="50"/>
  <c r="Q12" i="50"/>
  <c r="C14" i="50"/>
  <c r="Q14" i="50"/>
  <c r="C15" i="50"/>
  <c r="Q15" i="50"/>
  <c r="C17" i="50"/>
  <c r="Q17" i="50"/>
  <c r="C18" i="50"/>
  <c r="Q18" i="50"/>
  <c r="C20" i="50"/>
  <c r="Q20" i="50"/>
  <c r="C21" i="50"/>
  <c r="Q21" i="50"/>
  <c r="C24" i="50"/>
  <c r="Q24" i="50"/>
  <c r="C26" i="50"/>
  <c r="Q26" i="50"/>
  <c r="Q5" i="50"/>
  <c r="C34" i="50"/>
  <c r="Q34" i="50"/>
  <c r="C35" i="50"/>
  <c r="Q35" i="50"/>
  <c r="C36" i="50"/>
  <c r="Q36" i="50"/>
  <c r="C37" i="50"/>
  <c r="Q37" i="50"/>
  <c r="C38" i="50"/>
  <c r="Q38" i="50"/>
  <c r="C40" i="50"/>
  <c r="Q40" i="50"/>
  <c r="Q27" i="50"/>
  <c r="C44" i="50"/>
  <c r="Q44" i="50"/>
  <c r="C45" i="50"/>
  <c r="Q45" i="50"/>
  <c r="C48" i="50"/>
  <c r="Q48" i="50"/>
  <c r="C50" i="50"/>
  <c r="Q50" i="50"/>
  <c r="C58" i="50"/>
  <c r="Q58" i="50"/>
  <c r="C60" i="50"/>
  <c r="Q60" i="50"/>
  <c r="C62" i="50"/>
  <c r="Q62" i="50"/>
  <c r="C64" i="50"/>
  <c r="Q64" i="50"/>
  <c r="C65" i="50"/>
  <c r="Q65" i="50"/>
  <c r="C68" i="50"/>
  <c r="Q68" i="50"/>
  <c r="C71" i="50"/>
  <c r="Q71" i="50"/>
  <c r="C74" i="50"/>
  <c r="Q74" i="50"/>
  <c r="Q66" i="50"/>
  <c r="N20" i="49"/>
  <c r="F23" i="50"/>
  <c r="F5" i="50"/>
  <c r="G5" i="50"/>
  <c r="G171" i="50"/>
  <c r="G143" i="50"/>
  <c r="G132" i="50"/>
  <c r="G103" i="50"/>
  <c r="G97" i="50"/>
  <c r="G76" i="50"/>
  <c r="G66" i="50"/>
  <c r="G42" i="50"/>
  <c r="G27" i="50"/>
  <c r="F178" i="50"/>
  <c r="S15" i="46"/>
  <c r="R2" i="46"/>
  <c r="T15" i="46"/>
  <c r="U15" i="46"/>
  <c r="V15" i="46"/>
  <c r="W15" i="46"/>
  <c r="X15" i="46"/>
  <c r="Y15" i="46"/>
  <c r="Z15" i="46"/>
  <c r="AA15" i="46"/>
  <c r="S10" i="46"/>
  <c r="T10" i="46"/>
  <c r="U10" i="46"/>
  <c r="V10" i="46"/>
  <c r="W10" i="46"/>
  <c r="X10" i="46"/>
  <c r="Y10" i="46"/>
  <c r="Z10" i="46"/>
  <c r="S7" i="46"/>
  <c r="T7" i="46"/>
  <c r="U7" i="46"/>
  <c r="V7" i="46"/>
  <c r="W7" i="46"/>
  <c r="X7" i="46"/>
  <c r="Y7" i="46"/>
  <c r="Z7" i="46"/>
  <c r="S8" i="46"/>
  <c r="T8" i="46"/>
  <c r="U8" i="46"/>
  <c r="V8" i="46"/>
  <c r="W8" i="46"/>
  <c r="X8" i="46"/>
  <c r="Y8" i="46"/>
  <c r="Z8" i="46"/>
  <c r="AA7" i="46"/>
  <c r="S5" i="46"/>
  <c r="T5" i="46"/>
  <c r="U5" i="46"/>
  <c r="V5" i="46"/>
  <c r="W5" i="46"/>
  <c r="X5" i="46"/>
  <c r="Y5" i="46"/>
  <c r="Z5" i="46"/>
  <c r="S6" i="46"/>
  <c r="T6" i="46"/>
  <c r="U6" i="46"/>
  <c r="V6" i="46"/>
  <c r="W6" i="46"/>
  <c r="X6" i="46"/>
  <c r="Y6" i="46"/>
  <c r="Z6" i="46"/>
  <c r="AA5" i="46"/>
  <c r="S14" i="23"/>
  <c r="R2" i="23"/>
  <c r="T14" i="23"/>
  <c r="U14" i="23"/>
  <c r="V14" i="23"/>
  <c r="W14" i="23"/>
  <c r="X14" i="23"/>
  <c r="Y14" i="23"/>
  <c r="Z14" i="23"/>
  <c r="S15" i="23"/>
  <c r="T15" i="23"/>
  <c r="U15" i="23"/>
  <c r="V15" i="23"/>
  <c r="W15" i="23"/>
  <c r="X15" i="23"/>
  <c r="Y15" i="23"/>
  <c r="Z15" i="23"/>
  <c r="AA14" i="23"/>
  <c r="F123" i="50"/>
  <c r="F107" i="50"/>
  <c r="S9" i="17"/>
  <c r="R2" i="17"/>
  <c r="T9" i="17"/>
  <c r="U9" i="17"/>
  <c r="V9" i="17"/>
  <c r="W9" i="17"/>
  <c r="X9" i="17"/>
  <c r="Y9" i="17"/>
  <c r="Z9" i="17"/>
  <c r="S10" i="17"/>
  <c r="T10" i="17"/>
  <c r="U10" i="17"/>
  <c r="V10" i="17"/>
  <c r="W10" i="17"/>
  <c r="X10" i="17"/>
  <c r="Y10" i="17"/>
  <c r="Z10" i="17"/>
  <c r="S11" i="17"/>
  <c r="T11" i="17"/>
  <c r="U11" i="17"/>
  <c r="V11" i="17"/>
  <c r="W11" i="17"/>
  <c r="X11" i="17"/>
  <c r="Y11" i="17"/>
  <c r="Z11" i="17"/>
  <c r="AA9" i="17"/>
  <c r="S5" i="17"/>
  <c r="T5" i="17"/>
  <c r="U5" i="17"/>
  <c r="V5" i="17"/>
  <c r="W5" i="17"/>
  <c r="X5" i="17"/>
  <c r="Y5" i="17"/>
  <c r="Z5" i="17"/>
  <c r="S6" i="17"/>
  <c r="T6" i="17"/>
  <c r="U6" i="17"/>
  <c r="V6" i="17"/>
  <c r="W6" i="17"/>
  <c r="X6" i="17"/>
  <c r="Y6" i="17"/>
  <c r="Z6" i="17"/>
  <c r="AA5" i="17"/>
  <c r="S11" i="2"/>
  <c r="T11" i="2"/>
  <c r="R2" i="2"/>
  <c r="U11" i="2"/>
  <c r="V11" i="2"/>
  <c r="W11" i="2"/>
  <c r="X11" i="2"/>
  <c r="Y11" i="2"/>
  <c r="Z11" i="2"/>
  <c r="AA11" i="2"/>
  <c r="F82" i="50"/>
  <c r="S13" i="22"/>
  <c r="R2" i="22"/>
  <c r="T13" i="22"/>
  <c r="U13" i="22"/>
  <c r="V13" i="22"/>
  <c r="W13" i="22"/>
  <c r="X13" i="22"/>
  <c r="Y13" i="22"/>
  <c r="Z13" i="22"/>
  <c r="AA13" i="22"/>
  <c r="S7" i="22"/>
  <c r="T7" i="22"/>
  <c r="U7" i="22"/>
  <c r="V7" i="22"/>
  <c r="W7" i="22"/>
  <c r="X7" i="22"/>
  <c r="Y7" i="22"/>
  <c r="Z7" i="22"/>
  <c r="S8" i="22"/>
  <c r="T8" i="22"/>
  <c r="U8" i="22"/>
  <c r="V8" i="22"/>
  <c r="W8" i="22"/>
  <c r="X8" i="22"/>
  <c r="Y8" i="22"/>
  <c r="Z8" i="22"/>
  <c r="S9" i="22"/>
  <c r="T9" i="22"/>
  <c r="U9" i="22"/>
  <c r="V9" i="22"/>
  <c r="W9" i="22"/>
  <c r="X9" i="22"/>
  <c r="Y9" i="22"/>
  <c r="Z9" i="22"/>
  <c r="S10" i="22"/>
  <c r="T10" i="22"/>
  <c r="U10" i="22"/>
  <c r="V10" i="22"/>
  <c r="W10" i="22"/>
  <c r="X10" i="22"/>
  <c r="Y10" i="22"/>
  <c r="Z10" i="22"/>
  <c r="J11" i="22"/>
  <c r="S11" i="22"/>
  <c r="K11" i="22"/>
  <c r="T11" i="22"/>
  <c r="L11" i="22"/>
  <c r="U11" i="22"/>
  <c r="M11" i="22"/>
  <c r="V11" i="22"/>
  <c r="N11" i="22"/>
  <c r="W11" i="22"/>
  <c r="O11" i="22"/>
  <c r="X11" i="22"/>
  <c r="P11" i="22"/>
  <c r="Y11" i="22"/>
  <c r="Z11" i="22"/>
  <c r="AA7" i="22"/>
  <c r="S5" i="22"/>
  <c r="T5" i="22"/>
  <c r="U5" i="22"/>
  <c r="V5" i="22"/>
  <c r="W5" i="22"/>
  <c r="X5" i="22"/>
  <c r="Y5" i="22"/>
  <c r="Z5" i="22"/>
  <c r="S6" i="22"/>
  <c r="T6" i="22"/>
  <c r="U6" i="22"/>
  <c r="V6" i="22"/>
  <c r="W6" i="22"/>
  <c r="X6" i="22"/>
  <c r="Y6" i="22"/>
  <c r="Z6" i="22"/>
  <c r="AA5" i="22"/>
  <c r="S21" i="20"/>
  <c r="T21" i="20"/>
  <c r="U21" i="20"/>
  <c r="V21" i="20"/>
  <c r="W21" i="20"/>
  <c r="X21" i="20"/>
  <c r="Y21" i="20"/>
  <c r="Z21" i="20"/>
  <c r="S22" i="20"/>
  <c r="R2" i="20"/>
  <c r="T22" i="20"/>
  <c r="U22" i="20"/>
  <c r="V22" i="20"/>
  <c r="W22" i="20"/>
  <c r="X22" i="20"/>
  <c r="Y22" i="20"/>
  <c r="Z22" i="20"/>
  <c r="AA21" i="20"/>
  <c r="S18" i="20"/>
  <c r="T18" i="20"/>
  <c r="U18" i="20"/>
  <c r="V18" i="20"/>
  <c r="W18" i="20"/>
  <c r="X18" i="20"/>
  <c r="Y18" i="20"/>
  <c r="Z18" i="20"/>
  <c r="S19" i="20"/>
  <c r="T19" i="20"/>
  <c r="U19" i="20"/>
  <c r="V19" i="20"/>
  <c r="W19" i="20"/>
  <c r="X19" i="20"/>
  <c r="Y19" i="20"/>
  <c r="Z19" i="20"/>
  <c r="AA18" i="20"/>
  <c r="S28" i="19"/>
  <c r="R2" i="19"/>
  <c r="T28" i="19"/>
  <c r="U28" i="19"/>
  <c r="V28" i="19"/>
  <c r="W28" i="19"/>
  <c r="X28" i="19"/>
  <c r="Y28" i="19"/>
  <c r="Z28" i="19"/>
  <c r="S29" i="19"/>
  <c r="T29" i="19"/>
  <c r="U29" i="19"/>
  <c r="V29" i="19"/>
  <c r="W29" i="19"/>
  <c r="X29" i="19"/>
  <c r="Y29" i="19"/>
  <c r="Z29" i="19"/>
  <c r="AA28" i="19"/>
  <c r="S8" i="47"/>
  <c r="R2" i="47"/>
  <c r="T8" i="47"/>
  <c r="U8" i="47"/>
  <c r="V8" i="47"/>
  <c r="W8" i="47"/>
  <c r="X8" i="47"/>
  <c r="Y8" i="47"/>
  <c r="Z8" i="47"/>
  <c r="AA8" i="47"/>
  <c r="S23" i="47"/>
  <c r="T23" i="47"/>
  <c r="V23" i="47"/>
  <c r="W23" i="47"/>
  <c r="X23" i="47"/>
  <c r="Z23" i="47"/>
  <c r="S25" i="47"/>
  <c r="T25" i="47"/>
  <c r="U25" i="47"/>
  <c r="V25" i="47"/>
  <c r="W25" i="47"/>
  <c r="X25" i="47"/>
  <c r="Y25" i="47"/>
  <c r="Z25" i="47"/>
  <c r="S26" i="47"/>
  <c r="T26" i="47"/>
  <c r="U26" i="47"/>
  <c r="V26" i="47"/>
  <c r="W26" i="47"/>
  <c r="X26" i="47"/>
  <c r="Y26" i="47"/>
  <c r="Z26" i="47"/>
  <c r="S5" i="47"/>
  <c r="T5" i="47"/>
  <c r="U5" i="47"/>
  <c r="V5" i="47"/>
  <c r="W5" i="47"/>
  <c r="X5" i="47"/>
  <c r="Y5" i="47"/>
  <c r="Z5" i="47"/>
  <c r="S6" i="47"/>
  <c r="T6" i="47"/>
  <c r="U6" i="47"/>
  <c r="V6" i="47"/>
  <c r="W6" i="47"/>
  <c r="X6" i="47"/>
  <c r="Y6" i="47"/>
  <c r="Z6" i="47"/>
  <c r="AA5" i="47"/>
  <c r="S5" i="19"/>
  <c r="T5" i="19"/>
  <c r="U5" i="19"/>
  <c r="V5" i="19"/>
  <c r="W5" i="19"/>
  <c r="X5" i="19"/>
  <c r="Y5" i="19"/>
  <c r="Z5" i="19"/>
  <c r="S6" i="19"/>
  <c r="T6" i="19"/>
  <c r="U6" i="19"/>
  <c r="V6" i="19"/>
  <c r="W6" i="19"/>
  <c r="X6" i="19"/>
  <c r="Y6" i="19"/>
  <c r="Z6" i="19"/>
  <c r="AA5" i="19"/>
  <c r="S7" i="19"/>
  <c r="T7" i="19"/>
  <c r="U7" i="19"/>
  <c r="V7" i="19"/>
  <c r="W7" i="19"/>
  <c r="X7" i="19"/>
  <c r="Y7" i="19"/>
  <c r="Z7" i="19"/>
  <c r="S8" i="19"/>
  <c r="T8" i="19"/>
  <c r="U8" i="19"/>
  <c r="V8" i="19"/>
  <c r="W8" i="19"/>
  <c r="X8" i="19"/>
  <c r="Y8" i="19"/>
  <c r="Z8" i="19"/>
  <c r="AA7" i="19"/>
  <c r="S9" i="19"/>
  <c r="T9" i="19"/>
  <c r="U9" i="19"/>
  <c r="V9" i="19"/>
  <c r="W9" i="19"/>
  <c r="X9" i="19"/>
  <c r="Y9" i="19"/>
  <c r="Z9" i="19"/>
  <c r="S10" i="19"/>
  <c r="T10" i="19"/>
  <c r="U10" i="19"/>
  <c r="V10" i="19"/>
  <c r="W10" i="19"/>
  <c r="X10" i="19"/>
  <c r="Y10" i="19"/>
  <c r="Z10" i="19"/>
  <c r="S11" i="19"/>
  <c r="T11" i="19"/>
  <c r="U11" i="19"/>
  <c r="V11" i="19"/>
  <c r="W11" i="19"/>
  <c r="X11" i="19"/>
  <c r="Y11" i="19"/>
  <c r="Z11" i="19"/>
  <c r="S12" i="19"/>
  <c r="T12" i="19"/>
  <c r="U12" i="19"/>
  <c r="V12" i="19"/>
  <c r="W12" i="19"/>
  <c r="X12" i="19"/>
  <c r="Y12" i="19"/>
  <c r="Z12" i="19"/>
  <c r="AA9" i="19"/>
  <c r="S13" i="19"/>
  <c r="T13" i="19"/>
  <c r="U13" i="19"/>
  <c r="V13" i="19"/>
  <c r="W13" i="19"/>
  <c r="X13" i="19"/>
  <c r="Y13" i="19"/>
  <c r="Z13" i="19"/>
  <c r="S14" i="19"/>
  <c r="T14" i="19"/>
  <c r="U14" i="19"/>
  <c r="V14" i="19"/>
  <c r="W14" i="19"/>
  <c r="X14" i="19"/>
  <c r="Y14" i="19"/>
  <c r="Z14" i="19"/>
  <c r="AA13" i="19"/>
  <c r="D29" i="50"/>
  <c r="S15" i="19"/>
  <c r="T15" i="19"/>
  <c r="U15" i="19"/>
  <c r="V15" i="19"/>
  <c r="W15" i="19"/>
  <c r="X15" i="19"/>
  <c r="Y15" i="19"/>
  <c r="Z15" i="19"/>
  <c r="S16" i="19"/>
  <c r="T16" i="19"/>
  <c r="U16" i="19"/>
  <c r="V16" i="19"/>
  <c r="W16" i="19"/>
  <c r="X16" i="19"/>
  <c r="Y16" i="19"/>
  <c r="Z16" i="19"/>
  <c r="AA15" i="19"/>
  <c r="S17" i="19"/>
  <c r="T17" i="19"/>
  <c r="U17" i="19"/>
  <c r="V17" i="19"/>
  <c r="W17" i="19"/>
  <c r="X17" i="19"/>
  <c r="Y17" i="19"/>
  <c r="Z17" i="19"/>
  <c r="S18" i="19"/>
  <c r="T18" i="19"/>
  <c r="U18" i="19"/>
  <c r="V18" i="19"/>
  <c r="W18" i="19"/>
  <c r="X18" i="19"/>
  <c r="Y18" i="19"/>
  <c r="Z18" i="19"/>
  <c r="S19" i="19"/>
  <c r="T19" i="19"/>
  <c r="U19" i="19"/>
  <c r="V19" i="19"/>
  <c r="W19" i="19"/>
  <c r="X19" i="19"/>
  <c r="Y19" i="19"/>
  <c r="Z19" i="19"/>
  <c r="AA17" i="19"/>
  <c r="S20" i="19"/>
  <c r="T20" i="19"/>
  <c r="U20" i="19"/>
  <c r="V20" i="19"/>
  <c r="W20" i="19"/>
  <c r="X20" i="19"/>
  <c r="Y20" i="19"/>
  <c r="Z20" i="19"/>
  <c r="S21" i="19"/>
  <c r="T21" i="19"/>
  <c r="U21" i="19"/>
  <c r="V21" i="19"/>
  <c r="W21" i="19"/>
  <c r="X21" i="19"/>
  <c r="Y21" i="19"/>
  <c r="Z21" i="19"/>
  <c r="AA20" i="19"/>
  <c r="S22" i="19"/>
  <c r="T22" i="19"/>
  <c r="U22" i="19"/>
  <c r="V22" i="19"/>
  <c r="W22" i="19"/>
  <c r="X22" i="19"/>
  <c r="Y22" i="19"/>
  <c r="Z22" i="19"/>
  <c r="S23" i="19"/>
  <c r="T23" i="19"/>
  <c r="U23" i="19"/>
  <c r="V23" i="19"/>
  <c r="W23" i="19"/>
  <c r="X23" i="19"/>
  <c r="Y23" i="19"/>
  <c r="Z23" i="19"/>
  <c r="AA22" i="19"/>
  <c r="S24" i="19"/>
  <c r="T24" i="19"/>
  <c r="U24" i="19"/>
  <c r="V24" i="19"/>
  <c r="W24" i="19"/>
  <c r="X24" i="19"/>
  <c r="Y24" i="19"/>
  <c r="Z24" i="19"/>
  <c r="S25" i="19"/>
  <c r="T25" i="19"/>
  <c r="U25" i="19"/>
  <c r="V25" i="19"/>
  <c r="W25" i="19"/>
  <c r="X25" i="19"/>
  <c r="Y25" i="19"/>
  <c r="Z25" i="19"/>
  <c r="S26" i="19"/>
  <c r="T26" i="19"/>
  <c r="U26" i="19"/>
  <c r="V26" i="19"/>
  <c r="W26" i="19"/>
  <c r="X26" i="19"/>
  <c r="Y26" i="19"/>
  <c r="Z26" i="19"/>
  <c r="AA24" i="19"/>
  <c r="D34" i="50"/>
  <c r="S27" i="19"/>
  <c r="T27" i="19"/>
  <c r="U27" i="19"/>
  <c r="V27" i="19"/>
  <c r="W27" i="19"/>
  <c r="X27" i="19"/>
  <c r="Y27" i="19"/>
  <c r="Z27" i="19"/>
  <c r="AA27" i="19"/>
  <c r="D40" i="50"/>
  <c r="E28" i="50"/>
  <c r="B5" i="49"/>
  <c r="S13" i="20"/>
  <c r="T13" i="20"/>
  <c r="U13" i="20"/>
  <c r="V13" i="20"/>
  <c r="W13" i="20"/>
  <c r="X13" i="20"/>
  <c r="Y13" i="20"/>
  <c r="Z13" i="20"/>
  <c r="S14" i="20"/>
  <c r="T14" i="20"/>
  <c r="U14" i="20"/>
  <c r="V14" i="20"/>
  <c r="W14" i="20"/>
  <c r="X14" i="20"/>
  <c r="Y14" i="20"/>
  <c r="Z14" i="20"/>
  <c r="AA13" i="20"/>
  <c r="S15" i="20"/>
  <c r="T15" i="20"/>
  <c r="U15" i="20"/>
  <c r="V15" i="20"/>
  <c r="W15" i="20"/>
  <c r="X15" i="20"/>
  <c r="Y15" i="20"/>
  <c r="Z15" i="20"/>
  <c r="AA15" i="20"/>
  <c r="S16" i="20"/>
  <c r="T16" i="20"/>
  <c r="U16" i="20"/>
  <c r="V16" i="20"/>
  <c r="W16" i="20"/>
  <c r="X16" i="20"/>
  <c r="Y16" i="20"/>
  <c r="Z16" i="20"/>
  <c r="AA16" i="20"/>
  <c r="S17" i="20"/>
  <c r="T17" i="20"/>
  <c r="U17" i="20"/>
  <c r="V17" i="20"/>
  <c r="W17" i="20"/>
  <c r="X17" i="20"/>
  <c r="Y17" i="20"/>
  <c r="Z17" i="20"/>
  <c r="AA17" i="20"/>
  <c r="S5" i="2"/>
  <c r="T5" i="2"/>
  <c r="U5" i="2"/>
  <c r="V5" i="2"/>
  <c r="W5" i="2"/>
  <c r="X5" i="2"/>
  <c r="Y5" i="2"/>
  <c r="Z5" i="2"/>
  <c r="S6" i="2"/>
  <c r="T6" i="2"/>
  <c r="U6" i="2"/>
  <c r="V6" i="2"/>
  <c r="W6" i="2"/>
  <c r="X6" i="2"/>
  <c r="Y6" i="2"/>
  <c r="Z6" i="2"/>
  <c r="S7" i="2"/>
  <c r="T7" i="2"/>
  <c r="U7" i="2"/>
  <c r="V7" i="2"/>
  <c r="W7" i="2"/>
  <c r="X7" i="2"/>
  <c r="Y7" i="2"/>
  <c r="Z7" i="2"/>
  <c r="S8" i="2"/>
  <c r="T8" i="2"/>
  <c r="U8" i="2"/>
  <c r="V8" i="2"/>
  <c r="W8" i="2"/>
  <c r="X8" i="2"/>
  <c r="Y8" i="2"/>
  <c r="Z8" i="2"/>
  <c r="AA5" i="2"/>
  <c r="S9" i="2"/>
  <c r="T9" i="2"/>
  <c r="U9" i="2"/>
  <c r="V9" i="2"/>
  <c r="W9" i="2"/>
  <c r="X9" i="2"/>
  <c r="Y9" i="2"/>
  <c r="Z9" i="2"/>
  <c r="AA9" i="2"/>
  <c r="S12" i="2"/>
  <c r="T12" i="2"/>
  <c r="U12" i="2"/>
  <c r="V12" i="2"/>
  <c r="W12" i="2"/>
  <c r="X12" i="2"/>
  <c r="Y12" i="2"/>
  <c r="Z12" i="2"/>
  <c r="AA12" i="2"/>
  <c r="S22" i="2"/>
  <c r="T22" i="2"/>
  <c r="U22" i="2"/>
  <c r="V22" i="2"/>
  <c r="W22" i="2"/>
  <c r="X22" i="2"/>
  <c r="Y22" i="2"/>
  <c r="Z22" i="2"/>
  <c r="AA22" i="2"/>
  <c r="S23" i="46"/>
  <c r="T23" i="46"/>
  <c r="U23" i="46"/>
  <c r="V23" i="46"/>
  <c r="W23" i="46"/>
  <c r="X23" i="46"/>
  <c r="Y23" i="46"/>
  <c r="Z23" i="46"/>
  <c r="S24" i="46"/>
  <c r="T24" i="46"/>
  <c r="U24" i="46"/>
  <c r="V24" i="46"/>
  <c r="W24" i="46"/>
  <c r="X24" i="46"/>
  <c r="Y24" i="46"/>
  <c r="Z24" i="46"/>
  <c r="S25" i="46"/>
  <c r="T25" i="46"/>
  <c r="U25" i="46"/>
  <c r="V25" i="46"/>
  <c r="W25" i="46"/>
  <c r="X25" i="46"/>
  <c r="Y25" i="46"/>
  <c r="Z25" i="46"/>
  <c r="S26" i="46"/>
  <c r="T26" i="46"/>
  <c r="U26" i="46"/>
  <c r="V26" i="46"/>
  <c r="W26" i="46"/>
  <c r="X26" i="46"/>
  <c r="Y26" i="46"/>
  <c r="Z26" i="46"/>
  <c r="AA23" i="46"/>
  <c r="S11" i="46"/>
  <c r="T11" i="46"/>
  <c r="U11" i="46"/>
  <c r="V11" i="46"/>
  <c r="W11" i="46"/>
  <c r="X11" i="46"/>
  <c r="Y11" i="46"/>
  <c r="Z11" i="46"/>
  <c r="S12" i="46"/>
  <c r="T12" i="46"/>
  <c r="U12" i="46"/>
  <c r="V12" i="46"/>
  <c r="W12" i="46"/>
  <c r="X12" i="46"/>
  <c r="Y12" i="46"/>
  <c r="Z12" i="46"/>
  <c r="AA11" i="46"/>
  <c r="S13" i="46"/>
  <c r="T13" i="46"/>
  <c r="U13" i="46"/>
  <c r="V13" i="46"/>
  <c r="W13" i="46"/>
  <c r="X13" i="46"/>
  <c r="Y13" i="46"/>
  <c r="Z13" i="46"/>
  <c r="AA13" i="46"/>
  <c r="S14" i="46"/>
  <c r="T14" i="46"/>
  <c r="U14" i="46"/>
  <c r="V14" i="46"/>
  <c r="W14" i="46"/>
  <c r="X14" i="46"/>
  <c r="Y14" i="46"/>
  <c r="Z14" i="46"/>
  <c r="AA14" i="46"/>
  <c r="S16" i="46"/>
  <c r="T16" i="46"/>
  <c r="U16" i="46"/>
  <c r="V16" i="46"/>
  <c r="W16" i="46"/>
  <c r="X16" i="46"/>
  <c r="Y16" i="46"/>
  <c r="Z16" i="46"/>
  <c r="S17" i="46"/>
  <c r="T17" i="46"/>
  <c r="U17" i="46"/>
  <c r="V17" i="46"/>
  <c r="W17" i="46"/>
  <c r="X17" i="46"/>
  <c r="Y17" i="46"/>
  <c r="Z17" i="46"/>
  <c r="S18" i="46"/>
  <c r="T18" i="46"/>
  <c r="U18" i="46"/>
  <c r="V18" i="46"/>
  <c r="W18" i="46"/>
  <c r="X18" i="46"/>
  <c r="Y18" i="46"/>
  <c r="Z18" i="46"/>
  <c r="AA16" i="46"/>
  <c r="S19" i="46"/>
  <c r="T19" i="46"/>
  <c r="U19" i="46"/>
  <c r="V19" i="46"/>
  <c r="W19" i="46"/>
  <c r="X19" i="46"/>
  <c r="Y19" i="46"/>
  <c r="Z19" i="46"/>
  <c r="AA19" i="46"/>
  <c r="S20" i="46"/>
  <c r="T20" i="46"/>
  <c r="U20" i="46"/>
  <c r="V20" i="46"/>
  <c r="W20" i="46"/>
  <c r="X20" i="46"/>
  <c r="Y20" i="46"/>
  <c r="Z20" i="46"/>
  <c r="S21" i="46"/>
  <c r="T21" i="46"/>
  <c r="U21" i="46"/>
  <c r="V21" i="46"/>
  <c r="W21" i="46"/>
  <c r="X21" i="46"/>
  <c r="Y21" i="46"/>
  <c r="Z21" i="46"/>
  <c r="AA20" i="46"/>
  <c r="S22" i="46"/>
  <c r="T22" i="46"/>
  <c r="U22" i="46"/>
  <c r="V22" i="46"/>
  <c r="W22" i="46"/>
  <c r="X22" i="46"/>
  <c r="Y22" i="46"/>
  <c r="Z22" i="46"/>
  <c r="AA22" i="46"/>
  <c r="F143" i="50"/>
  <c r="S26" i="20"/>
  <c r="T26" i="20"/>
  <c r="U26" i="20"/>
  <c r="V26" i="20"/>
  <c r="W26" i="20"/>
  <c r="X26" i="20"/>
  <c r="Y26" i="20"/>
  <c r="Z26" i="20"/>
  <c r="S27" i="20"/>
  <c r="T27" i="20"/>
  <c r="U27" i="20"/>
  <c r="V27" i="20"/>
  <c r="W27" i="20"/>
  <c r="X27" i="20"/>
  <c r="Y27" i="20"/>
  <c r="Z27" i="20"/>
  <c r="AA26" i="20"/>
  <c r="S16" i="2"/>
  <c r="T16" i="2"/>
  <c r="U16" i="2"/>
  <c r="V16" i="2"/>
  <c r="W16" i="2"/>
  <c r="X16" i="2"/>
  <c r="Y16" i="2"/>
  <c r="Z16" i="2"/>
  <c r="S17" i="2"/>
  <c r="T17" i="2"/>
  <c r="U17" i="2"/>
  <c r="V17" i="2"/>
  <c r="W17" i="2"/>
  <c r="X17" i="2"/>
  <c r="Y17" i="2"/>
  <c r="Z17" i="2"/>
  <c r="AA16" i="2"/>
  <c r="S10" i="24"/>
  <c r="R2" i="24"/>
  <c r="T10" i="24"/>
  <c r="U10" i="24"/>
  <c r="V10" i="24"/>
  <c r="W10" i="24"/>
  <c r="X10" i="24"/>
  <c r="Y10" i="24"/>
  <c r="Z10" i="24"/>
  <c r="AA10" i="24"/>
  <c r="S5" i="24"/>
  <c r="T5" i="24"/>
  <c r="U5" i="24"/>
  <c r="V5" i="24"/>
  <c r="W5" i="24"/>
  <c r="X5" i="24"/>
  <c r="Y5" i="24"/>
  <c r="Z5" i="24"/>
  <c r="S6" i="24"/>
  <c r="T6" i="24"/>
  <c r="U6" i="24"/>
  <c r="V6" i="24"/>
  <c r="W6" i="24"/>
  <c r="X6" i="24"/>
  <c r="Y6" i="24"/>
  <c r="Z6" i="24"/>
  <c r="S7" i="24"/>
  <c r="T7" i="24"/>
  <c r="U7" i="24"/>
  <c r="V7" i="24"/>
  <c r="W7" i="24"/>
  <c r="X7" i="24"/>
  <c r="Y7" i="24"/>
  <c r="Z7" i="24"/>
  <c r="S8" i="24"/>
  <c r="T8" i="24"/>
  <c r="U8" i="24"/>
  <c r="V8" i="24"/>
  <c r="W8" i="24"/>
  <c r="X8" i="24"/>
  <c r="Y8" i="24"/>
  <c r="Z8" i="24"/>
  <c r="S9" i="24"/>
  <c r="T9" i="24"/>
  <c r="U9" i="24"/>
  <c r="V9" i="24"/>
  <c r="W9" i="24"/>
  <c r="X9" i="24"/>
  <c r="Y9" i="24"/>
  <c r="Z9" i="24"/>
  <c r="AA5" i="24"/>
  <c r="S15" i="24"/>
  <c r="T15" i="24"/>
  <c r="U15" i="24"/>
  <c r="V15" i="24"/>
  <c r="W15" i="24"/>
  <c r="X15" i="24"/>
  <c r="Y15" i="24"/>
  <c r="Z15" i="24"/>
  <c r="S16" i="24"/>
  <c r="T16" i="24"/>
  <c r="U16" i="24"/>
  <c r="V16" i="24"/>
  <c r="W16" i="24"/>
  <c r="X16" i="24"/>
  <c r="Y16" i="24"/>
  <c r="Z16" i="24"/>
  <c r="AA15" i="24"/>
  <c r="S14" i="24"/>
  <c r="T14" i="24"/>
  <c r="U14" i="24"/>
  <c r="V14" i="24"/>
  <c r="W14" i="24"/>
  <c r="X14" i="24"/>
  <c r="Y14" i="24"/>
  <c r="Z14" i="24"/>
  <c r="AA14" i="24"/>
  <c r="S11" i="24"/>
  <c r="T11" i="24"/>
  <c r="U11" i="24"/>
  <c r="V11" i="24"/>
  <c r="W11" i="24"/>
  <c r="X11" i="24"/>
  <c r="Y11" i="24"/>
  <c r="Z11" i="24"/>
  <c r="S12" i="24"/>
  <c r="T12" i="24"/>
  <c r="U12" i="24"/>
  <c r="V12" i="24"/>
  <c r="W12" i="24"/>
  <c r="X12" i="24"/>
  <c r="Y12" i="24"/>
  <c r="Z12" i="24"/>
  <c r="S13" i="24"/>
  <c r="T13" i="24"/>
  <c r="U13" i="24"/>
  <c r="V13" i="24"/>
  <c r="W13" i="24"/>
  <c r="X13" i="24"/>
  <c r="Y13" i="24"/>
  <c r="Z13" i="24"/>
  <c r="AA11" i="24"/>
  <c r="S16" i="23"/>
  <c r="T16" i="23"/>
  <c r="U16" i="23"/>
  <c r="V16" i="23"/>
  <c r="W16" i="23"/>
  <c r="X16" i="23"/>
  <c r="Y16" i="23"/>
  <c r="Z16" i="23"/>
  <c r="S17" i="23"/>
  <c r="T17" i="23"/>
  <c r="U17" i="23"/>
  <c r="V17" i="23"/>
  <c r="W17" i="23"/>
  <c r="X17" i="23"/>
  <c r="Y17" i="23"/>
  <c r="Z17" i="23"/>
  <c r="AA16" i="23"/>
  <c r="S12" i="23"/>
  <c r="T12" i="23"/>
  <c r="U12" i="23"/>
  <c r="V12" i="23"/>
  <c r="W12" i="23"/>
  <c r="X12" i="23"/>
  <c r="Y12" i="23"/>
  <c r="Z12" i="23"/>
  <c r="S13" i="23"/>
  <c r="T13" i="23"/>
  <c r="U13" i="23"/>
  <c r="V13" i="23"/>
  <c r="W13" i="23"/>
  <c r="X13" i="23"/>
  <c r="Y13" i="23"/>
  <c r="Z13" i="23"/>
  <c r="AA12" i="23"/>
  <c r="S9" i="23"/>
  <c r="T9" i="23"/>
  <c r="U9" i="23"/>
  <c r="V9" i="23"/>
  <c r="W9" i="23"/>
  <c r="X9" i="23"/>
  <c r="Y9" i="23"/>
  <c r="Z9" i="23"/>
  <c r="S10" i="23"/>
  <c r="T10" i="23"/>
  <c r="U10" i="23"/>
  <c r="V10" i="23"/>
  <c r="W10" i="23"/>
  <c r="X10" i="23"/>
  <c r="Y10" i="23"/>
  <c r="Z10" i="23"/>
  <c r="S11" i="23"/>
  <c r="T11" i="23"/>
  <c r="U11" i="23"/>
  <c r="V11" i="23"/>
  <c r="W11" i="23"/>
  <c r="X11" i="23"/>
  <c r="Y11" i="23"/>
  <c r="Z11" i="23"/>
  <c r="AA9" i="23"/>
  <c r="S5" i="23"/>
  <c r="T5" i="23"/>
  <c r="U5" i="23"/>
  <c r="V5" i="23"/>
  <c r="W5" i="23"/>
  <c r="X5" i="23"/>
  <c r="Y5" i="23"/>
  <c r="Z5" i="23"/>
  <c r="S6" i="23"/>
  <c r="T6" i="23"/>
  <c r="U6" i="23"/>
  <c r="V6" i="23"/>
  <c r="W6" i="23"/>
  <c r="X6" i="23"/>
  <c r="Y6" i="23"/>
  <c r="Z6" i="23"/>
  <c r="AA5" i="23"/>
  <c r="S7" i="23"/>
  <c r="T7" i="23"/>
  <c r="U7" i="23"/>
  <c r="V7" i="23"/>
  <c r="W7" i="23"/>
  <c r="X7" i="23"/>
  <c r="Y7" i="23"/>
  <c r="Z7" i="23"/>
  <c r="S8" i="23"/>
  <c r="T8" i="23"/>
  <c r="U8" i="23"/>
  <c r="V8" i="23"/>
  <c r="W8" i="23"/>
  <c r="X8" i="23"/>
  <c r="Y8" i="23"/>
  <c r="Z8" i="23"/>
  <c r="AA7" i="23"/>
  <c r="S7" i="17"/>
  <c r="T7" i="17"/>
  <c r="U7" i="17"/>
  <c r="V7" i="17"/>
  <c r="W7" i="17"/>
  <c r="X7" i="17"/>
  <c r="Y7" i="17"/>
  <c r="Z7" i="17"/>
  <c r="S8" i="17"/>
  <c r="T8" i="17"/>
  <c r="U8" i="17"/>
  <c r="V8" i="17"/>
  <c r="W8" i="17"/>
  <c r="X8" i="17"/>
  <c r="Y8" i="17"/>
  <c r="Z8" i="17"/>
  <c r="AA7" i="17"/>
  <c r="S23" i="2"/>
  <c r="T23" i="2"/>
  <c r="U23" i="2"/>
  <c r="V23" i="2"/>
  <c r="W23" i="2"/>
  <c r="X23" i="2"/>
  <c r="Y23" i="2"/>
  <c r="Z23" i="2"/>
  <c r="AA23" i="2"/>
  <c r="S21" i="2"/>
  <c r="T21" i="2"/>
  <c r="U21" i="2"/>
  <c r="V21" i="2"/>
  <c r="W21" i="2"/>
  <c r="X21" i="2"/>
  <c r="Y21" i="2"/>
  <c r="Z21" i="2"/>
  <c r="AA21" i="2"/>
  <c r="S20" i="2"/>
  <c r="T20" i="2"/>
  <c r="U20" i="2"/>
  <c r="V20" i="2"/>
  <c r="W20" i="2"/>
  <c r="X20" i="2"/>
  <c r="Y20" i="2"/>
  <c r="Z20" i="2"/>
  <c r="AA20" i="2"/>
  <c r="S15" i="2"/>
  <c r="T15" i="2"/>
  <c r="U15" i="2"/>
  <c r="V15" i="2"/>
  <c r="W15" i="2"/>
  <c r="X15" i="2"/>
  <c r="Y15" i="2"/>
  <c r="Z15" i="2"/>
  <c r="AA15" i="2"/>
  <c r="S14" i="2"/>
  <c r="T14" i="2"/>
  <c r="U14" i="2"/>
  <c r="V14" i="2"/>
  <c r="W14" i="2"/>
  <c r="X14" i="2"/>
  <c r="Y14" i="2"/>
  <c r="Z14" i="2"/>
  <c r="AA14" i="2"/>
  <c r="S13" i="2"/>
  <c r="T13" i="2"/>
  <c r="U13" i="2"/>
  <c r="V13" i="2"/>
  <c r="W13" i="2"/>
  <c r="X13" i="2"/>
  <c r="Y13" i="2"/>
  <c r="Z13" i="2"/>
  <c r="AA13" i="2"/>
  <c r="S10" i="2"/>
  <c r="T10" i="2"/>
  <c r="U10" i="2"/>
  <c r="V10" i="2"/>
  <c r="W10" i="2"/>
  <c r="X10" i="2"/>
  <c r="Y10" i="2"/>
  <c r="Z10" i="2"/>
  <c r="AA10" i="2"/>
  <c r="S19" i="2"/>
  <c r="T19" i="2"/>
  <c r="U19" i="2"/>
  <c r="V19" i="2"/>
  <c r="W19" i="2"/>
  <c r="X19" i="2"/>
  <c r="Y19" i="2"/>
  <c r="Z19" i="2"/>
  <c r="AA19" i="2"/>
  <c r="S18" i="2"/>
  <c r="T18" i="2"/>
  <c r="U18" i="2"/>
  <c r="V18" i="2"/>
  <c r="W18" i="2"/>
  <c r="X18" i="2"/>
  <c r="Y18" i="2"/>
  <c r="Z18" i="2"/>
  <c r="AA18" i="2"/>
  <c r="S14" i="22"/>
  <c r="T14" i="22"/>
  <c r="U14" i="22"/>
  <c r="V14" i="22"/>
  <c r="W14" i="22"/>
  <c r="X14" i="22"/>
  <c r="Y14" i="22"/>
  <c r="Z14" i="22"/>
  <c r="AA14" i="22"/>
  <c r="S12" i="22"/>
  <c r="T12" i="22"/>
  <c r="U12" i="22"/>
  <c r="V12" i="22"/>
  <c r="W12" i="22"/>
  <c r="X12" i="22"/>
  <c r="Y12" i="22"/>
  <c r="Z12" i="22"/>
  <c r="AA12" i="22"/>
  <c r="S25" i="20"/>
  <c r="T25" i="20"/>
  <c r="U25" i="20"/>
  <c r="V25" i="20"/>
  <c r="W25" i="20"/>
  <c r="X25" i="20"/>
  <c r="Y25" i="20"/>
  <c r="Z25" i="20"/>
  <c r="AA25" i="20"/>
  <c r="S24" i="20"/>
  <c r="T24" i="20"/>
  <c r="U24" i="20"/>
  <c r="V24" i="20"/>
  <c r="W24" i="20"/>
  <c r="X24" i="20"/>
  <c r="Y24" i="20"/>
  <c r="Z24" i="20"/>
  <c r="AA24" i="20"/>
  <c r="S23" i="20"/>
  <c r="T23" i="20"/>
  <c r="U23" i="20"/>
  <c r="V23" i="20"/>
  <c r="W23" i="20"/>
  <c r="X23" i="20"/>
  <c r="Y23" i="20"/>
  <c r="Z23" i="20"/>
  <c r="AA23" i="20"/>
  <c r="S20" i="20"/>
  <c r="T20" i="20"/>
  <c r="U20" i="20"/>
  <c r="V20" i="20"/>
  <c r="W20" i="20"/>
  <c r="X20" i="20"/>
  <c r="Y20" i="20"/>
  <c r="Z20" i="20"/>
  <c r="AA20" i="20"/>
  <c r="S12" i="20"/>
  <c r="T12" i="20"/>
  <c r="U12" i="20"/>
  <c r="V12" i="20"/>
  <c r="W12" i="20"/>
  <c r="X12" i="20"/>
  <c r="Y12" i="20"/>
  <c r="Z12" i="20"/>
  <c r="AA12" i="20"/>
  <c r="S10" i="20"/>
  <c r="T10" i="20"/>
  <c r="U10" i="20"/>
  <c r="V10" i="20"/>
  <c r="W10" i="20"/>
  <c r="X10" i="20"/>
  <c r="Y10" i="20"/>
  <c r="Z10" i="20"/>
  <c r="S11" i="20"/>
  <c r="T11" i="20"/>
  <c r="U11" i="20"/>
  <c r="V11" i="20"/>
  <c r="W11" i="20"/>
  <c r="X11" i="20"/>
  <c r="Y11" i="20"/>
  <c r="Z11" i="20"/>
  <c r="AA10" i="20"/>
  <c r="S7" i="20"/>
  <c r="T7" i="20"/>
  <c r="U7" i="20"/>
  <c r="V7" i="20"/>
  <c r="W7" i="20"/>
  <c r="X7" i="20"/>
  <c r="Y7" i="20"/>
  <c r="Z7" i="20"/>
  <c r="S9" i="20"/>
  <c r="T9" i="20"/>
  <c r="U9" i="20"/>
  <c r="V9" i="20"/>
  <c r="W9" i="20"/>
  <c r="X9" i="20"/>
  <c r="Y9" i="20"/>
  <c r="Z9" i="20"/>
  <c r="S6" i="20"/>
  <c r="T6" i="20"/>
  <c r="U6" i="20"/>
  <c r="V6" i="20"/>
  <c r="W6" i="20"/>
  <c r="X6" i="20"/>
  <c r="Y6" i="20"/>
  <c r="Z6" i="20"/>
  <c r="AA6" i="20"/>
  <c r="S5" i="20"/>
  <c r="T5" i="20"/>
  <c r="U5" i="20"/>
  <c r="V5" i="20"/>
  <c r="W5" i="20"/>
  <c r="X5" i="20"/>
  <c r="Y5" i="20"/>
  <c r="Z5" i="20"/>
  <c r="AA5" i="20"/>
  <c r="S28" i="47"/>
  <c r="T28" i="47"/>
  <c r="U28" i="47"/>
  <c r="V28" i="47"/>
  <c r="W28" i="47"/>
  <c r="X28" i="47"/>
  <c r="Y28" i="47"/>
  <c r="Z28" i="47"/>
  <c r="S29" i="47"/>
  <c r="T29" i="47"/>
  <c r="U29" i="47"/>
  <c r="V29" i="47"/>
  <c r="W29" i="47"/>
  <c r="X29" i="47"/>
  <c r="Y29" i="47"/>
  <c r="Z29" i="47"/>
  <c r="S30" i="47"/>
  <c r="T30" i="47"/>
  <c r="U30" i="47"/>
  <c r="V30" i="47"/>
  <c r="W30" i="47"/>
  <c r="X30" i="47"/>
  <c r="Y30" i="47"/>
  <c r="Z30" i="47"/>
  <c r="S31" i="47"/>
  <c r="T31" i="47"/>
  <c r="U31" i="47"/>
  <c r="V31" i="47"/>
  <c r="W31" i="47"/>
  <c r="X31" i="47"/>
  <c r="Y31" i="47"/>
  <c r="Z31" i="47"/>
  <c r="AA28" i="47"/>
  <c r="S27" i="47"/>
  <c r="T27" i="47"/>
  <c r="U27" i="47"/>
  <c r="V27" i="47"/>
  <c r="W27" i="47"/>
  <c r="X27" i="47"/>
  <c r="Y27" i="47"/>
  <c r="Z27" i="47"/>
  <c r="AA27" i="47"/>
  <c r="S21" i="47"/>
  <c r="T21" i="47"/>
  <c r="U21" i="47"/>
  <c r="V21" i="47"/>
  <c r="W21" i="47"/>
  <c r="X21" i="47"/>
  <c r="Y21" i="47"/>
  <c r="Z21" i="47"/>
  <c r="AA21" i="47"/>
  <c r="S16" i="47"/>
  <c r="T16" i="47"/>
  <c r="U16" i="47"/>
  <c r="V16" i="47"/>
  <c r="W16" i="47"/>
  <c r="X16" i="47"/>
  <c r="Y16" i="47"/>
  <c r="Z16" i="47"/>
  <c r="S17" i="47"/>
  <c r="T17" i="47"/>
  <c r="U17" i="47"/>
  <c r="V17" i="47"/>
  <c r="W17" i="47"/>
  <c r="X17" i="47"/>
  <c r="Y17" i="47"/>
  <c r="Z17" i="47"/>
  <c r="S18" i="47"/>
  <c r="T18" i="47"/>
  <c r="U18" i="47"/>
  <c r="V18" i="47"/>
  <c r="W18" i="47"/>
  <c r="X18" i="47"/>
  <c r="Y18" i="47"/>
  <c r="Z18" i="47"/>
  <c r="S19" i="47"/>
  <c r="T19" i="47"/>
  <c r="U19" i="47"/>
  <c r="V19" i="47"/>
  <c r="W19" i="47"/>
  <c r="X19" i="47"/>
  <c r="Y19" i="47"/>
  <c r="Z19" i="47"/>
  <c r="S20" i="47"/>
  <c r="T20" i="47"/>
  <c r="U20" i="47"/>
  <c r="V20" i="47"/>
  <c r="W20" i="47"/>
  <c r="X20" i="47"/>
  <c r="Y20" i="47"/>
  <c r="Z20" i="47"/>
  <c r="AA16" i="47"/>
  <c r="S15" i="47"/>
  <c r="T15" i="47"/>
  <c r="U15" i="47"/>
  <c r="V15" i="47"/>
  <c r="W15" i="47"/>
  <c r="X15" i="47"/>
  <c r="Y15" i="47"/>
  <c r="Z15" i="47"/>
  <c r="AA15" i="47"/>
  <c r="S14" i="47"/>
  <c r="T14" i="47"/>
  <c r="U14" i="47"/>
  <c r="V14" i="47"/>
  <c r="W14" i="47"/>
  <c r="X14" i="47"/>
  <c r="Y14" i="47"/>
  <c r="Z14" i="47"/>
  <c r="AA14" i="47"/>
  <c r="S12" i="47"/>
  <c r="T12" i="47"/>
  <c r="U12" i="47"/>
  <c r="V12" i="47"/>
  <c r="W12" i="47"/>
  <c r="X12" i="47"/>
  <c r="Y12" i="47"/>
  <c r="Z12" i="47"/>
  <c r="S13" i="47"/>
  <c r="T13" i="47"/>
  <c r="U13" i="47"/>
  <c r="V13" i="47"/>
  <c r="W13" i="47"/>
  <c r="X13" i="47"/>
  <c r="Y13" i="47"/>
  <c r="Z13" i="47"/>
  <c r="AA12" i="47"/>
  <c r="S11" i="47"/>
  <c r="T11" i="47"/>
  <c r="U11" i="47"/>
  <c r="V11" i="47"/>
  <c r="W11" i="47"/>
  <c r="X11" i="47"/>
  <c r="Y11" i="47"/>
  <c r="Z11" i="47"/>
  <c r="AA11" i="47"/>
  <c r="S10" i="47"/>
  <c r="T10" i="47"/>
  <c r="U10" i="47"/>
  <c r="V10" i="47"/>
  <c r="W10" i="47"/>
  <c r="X10" i="47"/>
  <c r="Y10" i="47"/>
  <c r="Z10" i="47"/>
  <c r="AA10" i="47"/>
  <c r="S9" i="47"/>
  <c r="T9" i="47"/>
  <c r="U9" i="47"/>
  <c r="V9" i="47"/>
  <c r="W9" i="47"/>
  <c r="X9" i="47"/>
  <c r="Y9" i="47"/>
  <c r="Z9" i="47"/>
  <c r="AA9" i="47"/>
  <c r="S7" i="47"/>
  <c r="T7" i="47"/>
  <c r="U7" i="47"/>
  <c r="V7" i="47"/>
  <c r="W7" i="47"/>
  <c r="X7" i="47"/>
  <c r="Y7" i="47"/>
  <c r="Z7" i="47"/>
  <c r="AA7" i="47"/>
  <c r="F171" i="50"/>
  <c r="F162" i="50"/>
  <c r="F132" i="50"/>
  <c r="F97" i="50"/>
  <c r="F76" i="50"/>
  <c r="F42" i="50"/>
  <c r="F27" i="50"/>
  <c r="D164" i="50"/>
  <c r="D167" i="50"/>
  <c r="D169" i="50"/>
  <c r="E163" i="50"/>
  <c r="B18" i="49"/>
  <c r="D145" i="50"/>
  <c r="D149" i="50"/>
  <c r="D155" i="50"/>
  <c r="D157" i="50"/>
  <c r="D160" i="50"/>
  <c r="E144" i="50"/>
  <c r="B17" i="49"/>
  <c r="D7" i="50"/>
  <c r="D10" i="50"/>
  <c r="D14" i="50"/>
  <c r="D17" i="50"/>
  <c r="D20" i="50"/>
  <c r="D23" i="50"/>
  <c r="D26" i="50"/>
  <c r="E6" i="50"/>
  <c r="B4" i="49"/>
  <c r="R10" i="50"/>
  <c r="S27" i="25"/>
  <c r="T27" i="25"/>
  <c r="U27" i="25"/>
  <c r="V27" i="25"/>
  <c r="W27" i="25"/>
  <c r="X27" i="25"/>
  <c r="Y27" i="25"/>
  <c r="S22" i="25"/>
  <c r="T22" i="25"/>
  <c r="U22" i="25"/>
  <c r="V22" i="25"/>
  <c r="W22" i="25"/>
  <c r="X22" i="25"/>
  <c r="Y22" i="25"/>
  <c r="S5" i="25"/>
  <c r="T5" i="25"/>
  <c r="U5" i="25"/>
  <c r="V5" i="25"/>
  <c r="W5" i="25"/>
  <c r="X5" i="25"/>
  <c r="Y5" i="25"/>
  <c r="S25" i="26"/>
  <c r="T25" i="26"/>
  <c r="U25" i="26"/>
  <c r="V25" i="26"/>
  <c r="W25" i="26"/>
  <c r="X25" i="26"/>
  <c r="Y25" i="26"/>
  <c r="R174" i="50"/>
  <c r="R173" i="50"/>
  <c r="S173" i="50"/>
  <c r="R176" i="50"/>
  <c r="R177" i="50"/>
  <c r="R178" i="50"/>
  <c r="R179" i="50"/>
  <c r="R180" i="50"/>
  <c r="S176" i="50"/>
  <c r="R183" i="50"/>
  <c r="R182" i="50"/>
  <c r="S182" i="50"/>
  <c r="R185" i="50"/>
  <c r="R186" i="50"/>
  <c r="S185" i="50"/>
  <c r="T172" i="50"/>
  <c r="R167" i="50"/>
  <c r="S167" i="50"/>
  <c r="R169" i="50"/>
  <c r="R170" i="50"/>
  <c r="S169" i="50"/>
  <c r="R164" i="50"/>
  <c r="R165" i="50"/>
  <c r="S164" i="50"/>
  <c r="T163" i="50"/>
  <c r="R152" i="50"/>
  <c r="R149" i="50"/>
  <c r="R150" i="50"/>
  <c r="R151" i="50"/>
  <c r="R153" i="50"/>
  <c r="S149" i="50"/>
  <c r="R157" i="50"/>
  <c r="R158" i="50"/>
  <c r="S157" i="50"/>
  <c r="R160" i="50"/>
  <c r="S160" i="50"/>
  <c r="R155" i="50"/>
  <c r="S155" i="50"/>
  <c r="R145" i="50"/>
  <c r="R146" i="50"/>
  <c r="R147" i="50"/>
  <c r="S145" i="50"/>
  <c r="T144" i="50"/>
  <c r="R135" i="50"/>
  <c r="R134" i="50"/>
  <c r="S134" i="50"/>
  <c r="R139" i="50"/>
  <c r="R137" i="50"/>
  <c r="R138" i="50"/>
  <c r="S137" i="50"/>
  <c r="R141" i="50"/>
  <c r="S141" i="50"/>
  <c r="T133" i="50"/>
  <c r="R116" i="50"/>
  <c r="R117" i="50"/>
  <c r="S116" i="50"/>
  <c r="R119" i="50"/>
  <c r="R120" i="50"/>
  <c r="S119" i="50"/>
  <c r="R122" i="50"/>
  <c r="R123" i="50"/>
  <c r="R124" i="50"/>
  <c r="S122" i="50"/>
  <c r="R126" i="50"/>
  <c r="R127" i="50"/>
  <c r="S126" i="50"/>
  <c r="R130" i="50"/>
  <c r="R129" i="50"/>
  <c r="R131" i="50"/>
  <c r="S129" i="50"/>
  <c r="T115" i="50"/>
  <c r="R111" i="50"/>
  <c r="R112" i="50"/>
  <c r="R110" i="50"/>
  <c r="S110" i="50"/>
  <c r="R105" i="50"/>
  <c r="S105" i="50"/>
  <c r="R107" i="50"/>
  <c r="R108" i="50"/>
  <c r="S107" i="50"/>
  <c r="T104" i="50"/>
  <c r="R99" i="50"/>
  <c r="R100" i="50"/>
  <c r="R101" i="50"/>
  <c r="S99" i="50"/>
  <c r="T98" i="50"/>
  <c r="R68" i="50"/>
  <c r="S68" i="50"/>
  <c r="R78" i="50"/>
  <c r="R79" i="50"/>
  <c r="S78" i="50"/>
  <c r="R82" i="50"/>
  <c r="R81" i="50"/>
  <c r="S81" i="50"/>
  <c r="R84" i="50"/>
  <c r="R85" i="50"/>
  <c r="R86" i="50"/>
  <c r="R87" i="50"/>
  <c r="S84" i="50"/>
  <c r="R90" i="50"/>
  <c r="R91" i="50"/>
  <c r="R89" i="50"/>
  <c r="R92" i="50"/>
  <c r="S89" i="50"/>
  <c r="R95" i="50"/>
  <c r="R94" i="50"/>
  <c r="R96" i="50"/>
  <c r="S94" i="50"/>
  <c r="T77" i="50"/>
  <c r="R70" i="50"/>
  <c r="R72" i="50"/>
  <c r="R71" i="50"/>
  <c r="S70" i="50"/>
  <c r="R74" i="50"/>
  <c r="S74" i="50"/>
  <c r="T67" i="50"/>
  <c r="R51" i="50"/>
  <c r="R50" i="50"/>
  <c r="S50" i="50"/>
  <c r="R53" i="50"/>
  <c r="R54" i="50"/>
  <c r="S53" i="50"/>
  <c r="R56" i="50"/>
  <c r="R57" i="50"/>
  <c r="R59" i="50"/>
  <c r="R58" i="50"/>
  <c r="R60" i="50"/>
  <c r="S56" i="50"/>
  <c r="R44" i="50"/>
  <c r="R45" i="50"/>
  <c r="S44" i="50"/>
  <c r="R47" i="50"/>
  <c r="R48" i="50"/>
  <c r="S47" i="50"/>
  <c r="R62" i="50"/>
  <c r="S62" i="50"/>
  <c r="R64" i="50"/>
  <c r="R65" i="50"/>
  <c r="S64" i="50"/>
  <c r="T43" i="50"/>
  <c r="R29" i="50"/>
  <c r="R30" i="50"/>
  <c r="R31" i="50"/>
  <c r="R32" i="50"/>
  <c r="S29" i="50"/>
  <c r="R41" i="50"/>
  <c r="R40" i="50"/>
  <c r="S40" i="50"/>
  <c r="R34" i="50"/>
  <c r="R35" i="50"/>
  <c r="R36" i="50"/>
  <c r="R37" i="50"/>
  <c r="R38" i="50"/>
  <c r="S34" i="50"/>
  <c r="T28" i="50"/>
  <c r="R11" i="50"/>
  <c r="R12" i="50"/>
  <c r="S10" i="50"/>
  <c r="B160" i="50"/>
  <c r="A160" i="50"/>
  <c r="B157" i="50"/>
  <c r="B158" i="50"/>
  <c r="A158" i="50"/>
  <c r="A157" i="50"/>
  <c r="B155" i="50"/>
  <c r="A155" i="50"/>
  <c r="B153" i="50"/>
  <c r="B152" i="50"/>
  <c r="B151" i="50"/>
  <c r="B150" i="50"/>
  <c r="B149" i="50"/>
  <c r="A153" i="50"/>
  <c r="A152" i="50"/>
  <c r="A151" i="50"/>
  <c r="A150" i="50"/>
  <c r="A149" i="50"/>
  <c r="B147" i="50"/>
  <c r="B146" i="50"/>
  <c r="B145" i="50"/>
  <c r="A147" i="50"/>
  <c r="A146" i="50"/>
  <c r="A145" i="50"/>
  <c r="Z27" i="25"/>
  <c r="AA27" i="25"/>
  <c r="C186" i="50"/>
  <c r="B186" i="50"/>
  <c r="B185" i="50"/>
  <c r="A186" i="50"/>
  <c r="A185" i="50"/>
  <c r="Z22" i="25"/>
  <c r="AA22" i="25"/>
  <c r="C182" i="50"/>
  <c r="D182" i="50"/>
  <c r="B183" i="50"/>
  <c r="B182" i="50"/>
  <c r="A183" i="50"/>
  <c r="A182" i="50"/>
  <c r="B180" i="50"/>
  <c r="B179" i="50"/>
  <c r="B178" i="50"/>
  <c r="B177" i="50"/>
  <c r="B176" i="50"/>
  <c r="A180" i="50"/>
  <c r="A179" i="50"/>
  <c r="A178" i="50"/>
  <c r="A177" i="50"/>
  <c r="A176" i="50"/>
  <c r="Z5" i="25"/>
  <c r="AA5" i="25"/>
  <c r="C173" i="50"/>
  <c r="B174" i="50"/>
  <c r="B173" i="50"/>
  <c r="A174" i="50"/>
  <c r="A173" i="50"/>
  <c r="B170" i="50"/>
  <c r="B169" i="50"/>
  <c r="A170" i="50"/>
  <c r="A169" i="50"/>
  <c r="B167" i="50"/>
  <c r="A167" i="50"/>
  <c r="B165" i="50"/>
  <c r="B164" i="50"/>
  <c r="A165" i="50"/>
  <c r="A164" i="50"/>
  <c r="B141" i="50"/>
  <c r="A141" i="50"/>
  <c r="B139" i="50"/>
  <c r="B138" i="50"/>
  <c r="B137" i="50"/>
  <c r="A139" i="50"/>
  <c r="A138" i="50"/>
  <c r="A137" i="50"/>
  <c r="B135" i="50"/>
  <c r="B134" i="50"/>
  <c r="A135" i="50"/>
  <c r="A134" i="50"/>
  <c r="B130" i="50"/>
  <c r="B131" i="50"/>
  <c r="B129" i="50"/>
  <c r="A131" i="50"/>
  <c r="A130" i="50"/>
  <c r="A129" i="50"/>
  <c r="B127" i="50"/>
  <c r="B126" i="50"/>
  <c r="A127" i="50"/>
  <c r="A126" i="50"/>
  <c r="B122" i="50"/>
  <c r="B124" i="50"/>
  <c r="B123" i="50"/>
  <c r="A124" i="50"/>
  <c r="A123" i="50"/>
  <c r="A122" i="50"/>
  <c r="B120" i="50"/>
  <c r="B119" i="50"/>
  <c r="A120" i="50"/>
  <c r="A119" i="50"/>
  <c r="B117" i="50"/>
  <c r="B116" i="50"/>
  <c r="A117" i="50"/>
  <c r="A116" i="50"/>
  <c r="Z23" i="26"/>
  <c r="Z24" i="26"/>
  <c r="Z25" i="26"/>
  <c r="AA23" i="26"/>
  <c r="C110" i="50"/>
  <c r="B112" i="50"/>
  <c r="B111" i="50"/>
  <c r="B110" i="50"/>
  <c r="A112" i="50"/>
  <c r="A111" i="50"/>
  <c r="A110" i="50"/>
  <c r="B108" i="50"/>
  <c r="B107" i="50"/>
  <c r="A108" i="50"/>
  <c r="A107" i="50"/>
  <c r="D105" i="50"/>
  <c r="B105" i="50"/>
  <c r="A105" i="50"/>
  <c r="B101" i="50"/>
  <c r="B100" i="50"/>
  <c r="B99" i="50"/>
  <c r="A101" i="50"/>
  <c r="A100" i="50"/>
  <c r="A99" i="50"/>
  <c r="B96" i="50"/>
  <c r="B95" i="50"/>
  <c r="B94" i="50"/>
  <c r="A96" i="50"/>
  <c r="A95" i="50"/>
  <c r="A94" i="50"/>
  <c r="B89" i="50"/>
  <c r="B92" i="50"/>
  <c r="B91" i="50"/>
  <c r="B90" i="50"/>
  <c r="A92" i="50"/>
  <c r="A91" i="50"/>
  <c r="A90" i="50"/>
  <c r="A89" i="50"/>
  <c r="B87" i="50"/>
  <c r="B86" i="50"/>
  <c r="B85" i="50"/>
  <c r="B84" i="50"/>
  <c r="A87" i="50"/>
  <c r="A86" i="50"/>
  <c r="A85" i="50"/>
  <c r="A84" i="50"/>
  <c r="B82" i="50"/>
  <c r="B81" i="50"/>
  <c r="A82" i="50"/>
  <c r="A81" i="50"/>
  <c r="B78" i="50"/>
  <c r="B79" i="50"/>
  <c r="A79" i="50"/>
  <c r="A78" i="50"/>
  <c r="B74" i="50"/>
  <c r="A74" i="50"/>
  <c r="B72" i="50"/>
  <c r="B71" i="50"/>
  <c r="B70" i="50"/>
  <c r="A72" i="50"/>
  <c r="A71" i="50"/>
  <c r="A70" i="50"/>
  <c r="D68" i="50"/>
  <c r="B68" i="50"/>
  <c r="A68" i="50"/>
  <c r="B65" i="50"/>
  <c r="B64" i="50"/>
  <c r="A65" i="50"/>
  <c r="A64" i="50"/>
  <c r="B62" i="50"/>
  <c r="A62" i="50"/>
  <c r="B60" i="50"/>
  <c r="B59" i="50"/>
  <c r="B58" i="50"/>
  <c r="B57" i="50"/>
  <c r="B56" i="50"/>
  <c r="A60" i="50"/>
  <c r="A59" i="50"/>
  <c r="A58" i="50"/>
  <c r="A57" i="50"/>
  <c r="A56" i="50"/>
  <c r="B54" i="50"/>
  <c r="B53" i="50"/>
  <c r="A54" i="50"/>
  <c r="A53" i="50"/>
  <c r="B51" i="50"/>
  <c r="B50" i="50"/>
  <c r="A51" i="50"/>
  <c r="A50" i="50"/>
  <c r="B48" i="50"/>
  <c r="B47" i="50"/>
  <c r="A48" i="50"/>
  <c r="A47" i="50"/>
  <c r="B45" i="50"/>
  <c r="B44" i="50"/>
  <c r="A45" i="50"/>
  <c r="A44" i="50"/>
  <c r="B41" i="50"/>
  <c r="B40" i="50"/>
  <c r="A41" i="50"/>
  <c r="A40" i="50"/>
  <c r="B38" i="50"/>
  <c r="B37" i="50"/>
  <c r="B36" i="50"/>
  <c r="B35" i="50"/>
  <c r="B34" i="50"/>
  <c r="A38" i="50"/>
  <c r="A37" i="50"/>
  <c r="A36" i="50"/>
  <c r="A35" i="50"/>
  <c r="A34" i="50"/>
  <c r="B32" i="50"/>
  <c r="B31" i="50"/>
  <c r="B30" i="50"/>
  <c r="B29" i="50"/>
  <c r="A32" i="50"/>
  <c r="A31" i="50"/>
  <c r="A30" i="50"/>
  <c r="A29" i="50"/>
  <c r="R7" i="50"/>
  <c r="R8" i="50"/>
  <c r="S7" i="50"/>
  <c r="R14" i="50"/>
  <c r="R15" i="50"/>
  <c r="S14" i="50"/>
  <c r="R17" i="50"/>
  <c r="R18" i="50"/>
  <c r="S17" i="50"/>
  <c r="R20" i="50"/>
  <c r="R21" i="50"/>
  <c r="S20" i="50"/>
  <c r="R23" i="50"/>
  <c r="R24" i="50"/>
  <c r="S23" i="50"/>
  <c r="R26" i="50"/>
  <c r="S26" i="50"/>
  <c r="T6" i="50"/>
  <c r="C20" i="49"/>
  <c r="D20" i="49"/>
  <c r="D173" i="50"/>
  <c r="D176" i="50"/>
  <c r="D185" i="50"/>
  <c r="E172" i="50"/>
  <c r="B19" i="49"/>
  <c r="D44" i="50"/>
  <c r="D47" i="50"/>
  <c r="D50" i="50"/>
  <c r="D53" i="50"/>
  <c r="D56" i="50"/>
  <c r="D62" i="50"/>
  <c r="D64" i="50"/>
  <c r="E43" i="50"/>
  <c r="B6" i="49"/>
  <c r="D70" i="50"/>
  <c r="D74" i="50"/>
  <c r="E67" i="50"/>
  <c r="B7" i="49"/>
  <c r="D78" i="50"/>
  <c r="D81" i="50"/>
  <c r="D84" i="50"/>
  <c r="D89" i="50"/>
  <c r="D94" i="50"/>
  <c r="E77" i="50"/>
  <c r="B9" i="49"/>
  <c r="D99" i="50"/>
  <c r="E98" i="50"/>
  <c r="B10" i="49"/>
  <c r="D107" i="50"/>
  <c r="D110" i="50"/>
  <c r="E104" i="50"/>
  <c r="B12" i="49"/>
  <c r="D116" i="50"/>
  <c r="D119" i="50"/>
  <c r="D122" i="50"/>
  <c r="D126" i="50"/>
  <c r="D129" i="50"/>
  <c r="E115" i="50"/>
  <c r="B14" i="49"/>
  <c r="D134" i="50"/>
  <c r="D137" i="50"/>
  <c r="D141" i="50"/>
  <c r="E133" i="50"/>
  <c r="B15" i="49"/>
  <c r="B20" i="49"/>
  <c r="A26" i="50"/>
  <c r="B26" i="50"/>
  <c r="B23" i="50"/>
  <c r="B24" i="50"/>
  <c r="A23" i="50"/>
  <c r="A24" i="50"/>
  <c r="A20" i="50"/>
  <c r="B20" i="50"/>
  <c r="B21" i="50"/>
  <c r="A21" i="50"/>
  <c r="B18" i="50"/>
  <c r="B17" i="50"/>
  <c r="A18" i="50"/>
  <c r="A17" i="50"/>
  <c r="B15" i="50"/>
  <c r="A15" i="50"/>
  <c r="A14" i="50"/>
  <c r="A12" i="50"/>
  <c r="A11" i="50"/>
  <c r="A10" i="50"/>
  <c r="A8" i="50"/>
  <c r="A7" i="50"/>
  <c r="B14" i="50"/>
  <c r="B12" i="50"/>
  <c r="B11" i="50"/>
  <c r="B10" i="50"/>
  <c r="B8" i="50"/>
  <c r="B7" i="50"/>
</calcChain>
</file>

<file path=xl/comments1.xml><?xml version="1.0" encoding="utf-8"?>
<comments xmlns="http://schemas.openxmlformats.org/spreadsheetml/2006/main">
  <authors>
    <author>Usuario de Microsoft Office</author>
  </authors>
  <commentList>
    <comment ref="Q23" authorId="0" shapeId="0">
      <text>
        <r>
          <rPr>
            <b/>
            <sz val="10"/>
            <color indexed="81"/>
            <rFont val="Calibri"/>
            <family val="2"/>
          </rPr>
          <t>Valor por docente categoria asistente vigencia 2020</t>
        </r>
      </text>
    </comment>
    <comment ref="U23" authorId="0" shapeId="0">
      <text>
        <r>
          <rPr>
            <b/>
            <sz val="10"/>
            <color indexed="81"/>
            <rFont val="Calibri"/>
            <family val="2"/>
          </rPr>
          <t xml:space="preserve">Datos suministrados por Vicerrectoria Administrativa y financiera </t>
        </r>
      </text>
    </comment>
    <comment ref="Y23" authorId="0" shapeId="0">
      <text>
        <r>
          <rPr>
            <b/>
            <sz val="10"/>
            <color indexed="81"/>
            <rFont val="Calibri"/>
            <family val="2"/>
          </rPr>
          <t>Datos suministrados por vicerrectoria administrativa y financiera</t>
        </r>
      </text>
    </comment>
  </commentList>
</comments>
</file>

<file path=xl/comments2.xml><?xml version="1.0" encoding="utf-8"?>
<comments xmlns="http://schemas.openxmlformats.org/spreadsheetml/2006/main">
  <authors>
    <author>USUARIO</author>
  </authors>
  <commentList>
    <comment ref="Q22" authorId="0" shapeId="0">
      <text>
        <r>
          <rPr>
            <sz val="9"/>
            <color indexed="81"/>
            <rFont val="Tahoma"/>
            <family val="2"/>
          </rPr>
          <t xml:space="preserve">CONTRATACION DE LA BOLSA DE EMPLEO </t>
        </r>
      </text>
    </comment>
  </commentList>
</comments>
</file>

<file path=xl/comments3.xml><?xml version="1.0" encoding="utf-8"?>
<comments xmlns="http://schemas.openxmlformats.org/spreadsheetml/2006/main">
  <authors>
    <author>Cielo Gómez Bustos</author>
  </authors>
  <commentList>
    <comment ref="J9" authorId="0" shapeId="0">
      <text>
        <r>
          <rPr>
            <b/>
            <sz val="9"/>
            <color indexed="81"/>
            <rFont val="Tahoma"/>
            <family val="2"/>
          </rPr>
          <t>Cielo Gómez Bustos:</t>
        </r>
        <r>
          <rPr>
            <sz val="9"/>
            <color indexed="81"/>
            <rFont val="Tahoma"/>
            <family val="2"/>
          </rPr>
          <t xml:space="preserve">
Ninguno porque todos los programas estan en primera autoevaluación de sus registros renovados, rwquisito para demorstrar condiciones iniciales</t>
        </r>
      </text>
    </comment>
    <comment ref="K9" authorId="0" shapeId="0">
      <text>
        <r>
          <rPr>
            <b/>
            <sz val="9"/>
            <color indexed="81"/>
            <rFont val="Tahoma"/>
            <family val="2"/>
          </rPr>
          <t>Cielo Gómez Bustos:</t>
        </r>
        <r>
          <rPr>
            <sz val="9"/>
            <color indexed="81"/>
            <rFont val="Tahoma"/>
            <family val="2"/>
          </rPr>
          <t xml:space="preserve">
Ing Sistemas</t>
        </r>
      </text>
    </comment>
    <comment ref="J10"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11" authorId="0" shapeId="0">
      <text>
        <r>
          <rPr>
            <b/>
            <sz val="9"/>
            <color indexed="81"/>
            <rFont val="Tahoma"/>
            <family val="2"/>
          </rPr>
          <t>Cielo Gómez Bustos:</t>
        </r>
        <r>
          <rPr>
            <sz val="9"/>
            <color indexed="81"/>
            <rFont val="Tahoma"/>
            <family val="2"/>
          </rPr>
          <t xml:space="preserve">
Acumulables</t>
        </r>
      </text>
    </comment>
    <comment ref="J11" authorId="0" shapeId="0">
      <text>
        <r>
          <rPr>
            <b/>
            <sz val="9"/>
            <color indexed="81"/>
            <rFont val="Tahoma"/>
            <family val="2"/>
          </rPr>
          <t>Cielo Gómez Bustos:</t>
        </r>
        <r>
          <rPr>
            <sz val="9"/>
            <color indexed="81"/>
            <rFont val="Tahoma"/>
            <family val="2"/>
          </rPr>
          <t xml:space="preserve">
Ing Electrónica</t>
        </r>
      </text>
    </comment>
    <comment ref="K11" authorId="0" shapeId="0">
      <text>
        <r>
          <rPr>
            <b/>
            <sz val="9"/>
            <color indexed="81"/>
            <rFont val="Tahoma"/>
            <family val="2"/>
          </rPr>
          <t>Cielo Gómez Bustos:</t>
        </r>
        <r>
          <rPr>
            <sz val="9"/>
            <color indexed="81"/>
            <rFont val="Tahoma"/>
            <family val="2"/>
          </rPr>
          <t xml:space="preserve">
Ing Electromecánica
Ing Telecomunicaciones</t>
        </r>
      </text>
    </comment>
    <comment ref="F13" authorId="0" shapeId="0">
      <text>
        <r>
          <rPr>
            <b/>
            <sz val="9"/>
            <color indexed="81"/>
            <rFont val="Tahoma"/>
            <family val="2"/>
          </rPr>
          <t>Cielo Gómez Bustos:</t>
        </r>
        <r>
          <rPr>
            <sz val="9"/>
            <color indexed="81"/>
            <rFont val="Tahoma"/>
            <family val="2"/>
          </rPr>
          <t xml:space="preserve">
No es acumulable</t>
        </r>
      </text>
    </comment>
    <comment ref="I13"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13" authorId="0" shapeId="0">
      <text>
        <r>
          <rPr>
            <b/>
            <sz val="9"/>
            <color indexed="81"/>
            <rFont val="Tahoma"/>
            <family val="2"/>
          </rPr>
          <t>Cielo Gómez Bustos:</t>
        </r>
        <r>
          <rPr>
            <sz val="9"/>
            <color indexed="81"/>
            <rFont val="Tahoma"/>
            <family val="2"/>
          </rPr>
          <t xml:space="preserve">
1. Plan de mejora de Electromecanica, telecomunicaciones- acreditación
2. Plan de mejora de Telecomunicaciones- acreditación
6. Plan de mejoramiento programas renovados 1 autoevaluación</t>
        </r>
      </text>
    </comment>
    <comment ref="K13"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13" authorId="0" shapeId="0">
      <text>
        <r>
          <rPr>
            <b/>
            <sz val="9"/>
            <color indexed="81"/>
            <rFont val="Tahoma"/>
            <family val="2"/>
          </rPr>
          <t>Cielo Gómez Bustos:</t>
        </r>
        <r>
          <rPr>
            <sz val="9"/>
            <color indexed="81"/>
            <rFont val="Tahoma"/>
            <family val="2"/>
          </rPr>
          <t xml:space="preserve">
1 autoe ACREDI
2 Autoeval 1
9 Autoeva 2</t>
        </r>
      </text>
    </comment>
    <comment ref="M13"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comments4.xml><?xml version="1.0" encoding="utf-8"?>
<comments xmlns="http://schemas.openxmlformats.org/spreadsheetml/2006/main">
  <authors>
    <author>Juan Carlos</author>
  </authors>
  <commentList>
    <comment ref="Q15" authorId="0" shapeId="0">
      <text>
        <r>
          <rPr>
            <b/>
            <sz val="9"/>
            <color indexed="81"/>
            <rFont val="Tahoma"/>
            <family val="2"/>
          </rPr>
          <t>Juan Carlos:</t>
        </r>
        <r>
          <rPr>
            <sz val="9"/>
            <color indexed="81"/>
            <rFont val="Tahoma"/>
            <family val="2"/>
          </rPr>
          <t xml:space="preserve">
Prestación de servicio para la contratación de un experto en ese tipo de enseñanza. </t>
        </r>
      </text>
    </comment>
  </commentList>
</comments>
</file>

<file path=xl/comments5.xml><?xml version="1.0" encoding="utf-8"?>
<comments xmlns="http://schemas.openxmlformats.org/spreadsheetml/2006/main">
  <authors>
    <author>USUARIO</author>
  </authors>
  <commentList>
    <comment ref="Q13" authorId="0" shapeId="0">
      <text>
        <r>
          <rPr>
            <sz val="9"/>
            <color indexed="81"/>
            <rFont val="Tahoma"/>
            <family val="2"/>
          </rPr>
          <t>10.000.000 recursos solidos y 10.000.000. para vegetacion.</t>
        </r>
      </text>
    </comment>
  </commentList>
</comments>
</file>

<file path=xl/comments6.xml><?xml version="1.0" encoding="utf-8"?>
<comments xmlns="http://schemas.openxmlformats.org/spreadsheetml/2006/main">
  <authors>
    <author>Usuario de Microsoft Office</author>
  </authors>
  <commentList>
    <comment ref="Q6" authorId="0" shapeId="0">
      <text>
        <r>
          <rPr>
            <b/>
            <sz val="10"/>
            <color indexed="81"/>
            <rFont val="Calibri"/>
            <family val="2"/>
          </rPr>
          <t xml:space="preserve">1800000 por persona para capacitacion .. Minimo 6 </t>
        </r>
      </text>
    </comment>
    <comment ref="Q21" authorId="0" shapeId="0">
      <text>
        <r>
          <rPr>
            <b/>
            <sz val="10"/>
            <color indexed="81"/>
            <rFont val="Calibri"/>
            <family val="2"/>
          </rPr>
          <t xml:space="preserve">PARA 10 PARAMETROS </t>
        </r>
      </text>
    </comment>
  </commentList>
</comments>
</file>

<file path=xl/sharedStrings.xml><?xml version="1.0" encoding="utf-8"?>
<sst xmlns="http://schemas.openxmlformats.org/spreadsheetml/2006/main" count="2027" uniqueCount="845">
  <si>
    <t>UTS DEL CONOCIMIENTO</t>
  </si>
  <si>
    <t>LINEA 1: EXCELENCIA ACADÉMICA</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</si>
  <si>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</si>
  <si>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</si>
  <si>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</si>
  <si>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</si>
  <si>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</si>
  <si>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</si>
  <si>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</si>
  <si>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</si>
  <si>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</si>
  <si>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</si>
  <si>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</si>
  <si>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</si>
  <si>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</si>
  <si>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</si>
  <si>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</si>
  <si>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</si>
  <si>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</si>
  <si>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</si>
  <si>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</si>
  <si>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</si>
  <si>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</si>
  <si>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</si>
  <si>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</si>
  <si>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</si>
  <si>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</si>
  <si>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</si>
  <si>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</si>
  <si>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</si>
  <si>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</si>
  <si>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ALTA</t>
  </si>
  <si>
    <t>EFICIENCIA</t>
  </si>
  <si>
    <t>Porcentaje de participación estudiantes respecto al número de estudiantes matriculados.</t>
  </si>
  <si>
    <t>SEMESTRAL</t>
  </si>
  <si>
    <t>ANUAL</t>
  </si>
  <si>
    <t>Porcentaje de participación docentes respecto al número de docentes contratados.</t>
  </si>
  <si>
    <t>PRODUCTO</t>
  </si>
  <si>
    <t>Número de memorias generadas en los espacios de reflexión</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</si>
  <si>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</si>
  <si>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</si>
  <si>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t>
  </si>
  <si>
    <t>Porcentaje de estudiantes con acompañamiento para el desarrollo de habilidades y competencias para la vida, respecto al número de estudiantes matriculados.</t>
  </si>
  <si>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</si>
  <si>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</si>
  <si>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</si>
  <si>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</si>
  <si>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</si>
  <si>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</si>
  <si>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</si>
  <si>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</si>
  <si>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Porcentaje de estudiantes matriculados sobre los inscritos.</t>
  </si>
  <si>
    <t>Porcentaje de permanencia.</t>
  </si>
  <si>
    <t>Porcentaje de pronta graduación.</t>
  </si>
  <si>
    <t>EFICACIA</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</si>
  <si>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</si>
  <si>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</si>
  <si>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</si>
  <si>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</si>
  <si>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</si>
  <si>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</si>
  <si>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</si>
  <si>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AMBIENTES DE APRENDIZAJE</t>
  </si>
  <si>
    <t>LíNEA 2: CIENCIA E INVESTIGACIÓN</t>
  </si>
  <si>
    <t>GESTIÓN DEL CONOCIMIENTO</t>
  </si>
  <si>
    <t>Ambiente y cultura institucional en ciencia, tecnología e innovación.</t>
  </si>
  <si>
    <t xml:space="preserve">Número de proyectos  de investigación formulados y presentados en convocatorias externas. </t>
  </si>
  <si>
    <t>Número de registros de software ante la (DNDA) Dirección Nacional  de Derechos de Autor.</t>
  </si>
  <si>
    <t>Número de diseños en prototipos industriales.</t>
  </si>
  <si>
    <t>Número de prototipos industriales.</t>
  </si>
  <si>
    <t xml:space="preserve">Número de desarrollos tecnológicos. </t>
  </si>
  <si>
    <t xml:space="preserve">Cooperación nacional e internacional. </t>
  </si>
  <si>
    <t>Número de acciones de extensión realizadas con socios estratégicos y alianzas.</t>
  </si>
  <si>
    <t>PRODUCCIÓN ACADÉMICA, CIENTÍFICA Y TECNOLÓGICA</t>
  </si>
  <si>
    <t xml:space="preserve">La investigación y los focos estratégicos del contexto global. </t>
  </si>
  <si>
    <t>Número de proyectos ejecutados.</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</si>
  <si>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</si>
  <si>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</si>
  <si>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</si>
  <si>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</si>
  <si>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</si>
  <si>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</si>
  <si>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</si>
  <si>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</si>
  <si>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</si>
  <si>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</si>
  <si>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</si>
  <si>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</si>
  <si>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</si>
  <si>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</si>
  <si>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</si>
  <si>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</si>
  <si>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</si>
  <si>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</si>
  <si>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</si>
  <si>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</si>
  <si>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</si>
  <si>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</si>
  <si>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</si>
  <si>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</si>
  <si>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</si>
  <si>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</si>
  <si>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</si>
  <si>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</si>
  <si>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</si>
  <si>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</si>
  <si>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</si>
  <si>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</si>
  <si>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</si>
  <si>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</si>
  <si>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</si>
  <si>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</si>
  <si>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</si>
  <si>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</si>
  <si>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</si>
  <si>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</si>
  <si>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</si>
  <si>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</si>
  <si>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</si>
  <si>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</si>
  <si>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</si>
  <si>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</si>
  <si>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Ampliar la oferta institucional de educación continua (cursos, talleres, seminarios, diplomados) que responda a las necesidades del mundo laboral y permita la actualización de conocimientos de la comunidad uteísta.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</si>
  <si>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</si>
  <si>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</si>
  <si>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</si>
  <si>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</si>
  <si>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</si>
  <si>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</si>
  <si>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</si>
  <si>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</si>
  <si>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</si>
  <si>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</si>
  <si>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</si>
  <si>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Oficina de Autoevaluación y Calidad</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</si>
  <si>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</si>
  <si>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</si>
  <si>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</si>
  <si>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</si>
  <si>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</si>
  <si>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</si>
  <si>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</si>
  <si>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</si>
  <si>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</si>
  <si>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</si>
  <si>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</si>
  <si>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Oficina de Autoevaluación y Calidad
Decanaturas de Facultad
Coordinaciones Académicas</t>
  </si>
  <si>
    <t>UTS INNOVA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</si>
  <si>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</si>
  <si>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</si>
  <si>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</si>
  <si>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</si>
  <si>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</si>
  <si>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</si>
  <si>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</si>
  <si>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</si>
  <si>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</si>
  <si>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</si>
  <si>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Oficina de Desarrollo Académico 
Grupo de Bienestar Institucional</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</si>
  <si>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</si>
  <si>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</si>
  <si>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</si>
  <si>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</si>
  <si>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</si>
  <si>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</si>
  <si>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</si>
  <si>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</si>
  <si>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Oficina de Infraestructura</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</si>
  <si>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</si>
  <si>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</si>
  <si>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</si>
  <si>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</si>
  <si>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</si>
  <si>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</si>
  <si>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</si>
  <si>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</si>
  <si>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CENTRO DE INNOVACIÓN Y PRODUCTIVIDAD - CIP</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</si>
  <si>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</si>
  <si>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</si>
  <si>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</si>
  <si>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 xml:space="preserve">Puesta en marcha del Centro de Innovación y Productividad de las UTS (CIP-UTS) articulado con los sistemas nacionales y regionales de innovación. </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</si>
  <si>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</si>
  <si>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</si>
  <si>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</si>
  <si>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</si>
  <si>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</si>
  <si>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</si>
  <si>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Oficina de Relaciones
Interinstitucionales e
Internacionales
Decanaturas de Facultad
Dirección de Investigaciones y Extensión</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</si>
  <si>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</si>
  <si>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</si>
  <si>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</si>
  <si>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</si>
  <si>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</si>
  <si>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Oficina de Relaciones
Interinstitucionales e
Internacionales
Decanaturas de Facultad</t>
  </si>
  <si>
    <t>30 convenios firmados para prácticas (vigencia 2020)</t>
  </si>
  <si>
    <t>Oficina de Relaciones
Interinstitucionales e
Internacionales</t>
  </si>
  <si>
    <t>Número de convenios interadministrativos activos</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</si>
  <si>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</si>
  <si>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</si>
  <si>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</si>
  <si>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</si>
  <si>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</si>
  <si>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</si>
  <si>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</si>
  <si>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</si>
  <si>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</si>
  <si>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</si>
  <si>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</si>
  <si>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</si>
  <si>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</si>
  <si>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</si>
  <si>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</si>
  <si>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</si>
  <si>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</si>
  <si>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</si>
  <si>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</si>
  <si>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</si>
  <si>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</si>
  <si>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</si>
  <si>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</si>
  <si>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</si>
  <si>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</si>
  <si>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</si>
  <si>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t>Oficina de Relaciones
Interinstitucionales e
Internacionales
Grupo  de Recursos Informáticos
Vicerrectoría Académica</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</si>
  <si>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</si>
  <si>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</si>
  <si>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</si>
  <si>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</si>
  <si>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</si>
  <si>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</si>
  <si>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</si>
  <si>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</si>
  <si>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</si>
  <si>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</si>
  <si>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</si>
  <si>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</si>
  <si>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</si>
  <si>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</si>
  <si>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</si>
  <si>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</si>
  <si>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</si>
  <si>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</si>
  <si>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</si>
  <si>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</si>
  <si>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</si>
  <si>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</si>
  <si>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</si>
  <si>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</si>
  <si>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</si>
  <si>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</si>
  <si>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</si>
  <si>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</si>
  <si>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</si>
  <si>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</si>
  <si>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</si>
  <si>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</si>
  <si>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</si>
  <si>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</si>
  <si>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</si>
  <si>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</si>
  <si>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</si>
  <si>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Oficina de Desarrollo Académico</t>
  </si>
  <si>
    <t xml:space="preserve">Número atenciones a estudiantes en tutorías </t>
  </si>
  <si>
    <t>4500 atenciones a estudiantes en 2020 (tutorías)</t>
  </si>
  <si>
    <t xml:space="preserve">Número de horas asignadas para desarrollar a las tutorías </t>
  </si>
  <si>
    <t>300 horas asignadas para tutorías en 2020</t>
  </si>
  <si>
    <t>Número de atenciones a estudiantes en monitoria  de pares</t>
  </si>
  <si>
    <t>1000 atenciones a estudiantes en 2020 (monitorias)</t>
  </si>
  <si>
    <t>Número de estudiantes monitores</t>
  </si>
  <si>
    <t>40 estudiantes monitores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</si>
  <si>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</si>
  <si>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</si>
  <si>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</si>
  <si>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</si>
  <si>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 xml:space="preserve">Crear el sistema de caracterización de la comunidad uteísta que cumpla con la ley de protección de datos personales y permita el acceso a programas y actividades institucionales conforme a las necesidades de la población. </t>
  </si>
  <si>
    <t>Formulario de Inscripción en línea Oficina de Admisiones, Registro y Control</t>
  </si>
  <si>
    <t xml:space="preserve">Desarrollar el sistema de caracterización de la comunidad uteísta que cumpla con la ley de protección de datos personales y permita el acceso a programas y actividades institucionales conforme a las necesidades de la población. </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</si>
  <si>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</si>
  <si>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</si>
  <si>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</si>
  <si>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</si>
  <si>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</si>
  <si>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</si>
  <si>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 xml:space="preserve"> Grupo Departamento de Humanidades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</si>
  <si>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</si>
  <si>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</si>
  <si>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</si>
  <si>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</si>
  <si>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</si>
  <si>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</si>
  <si>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 xml:space="preserve">Grupo Departamento de Humanidades </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</si>
  <si>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</si>
  <si>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</si>
  <si>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 Oficina de Desarrollo Académico </t>
  </si>
  <si>
    <t xml:space="preserve">Implementar programa de formación docente para atender a personas con dificultades de aprendizaje. </t>
  </si>
  <si>
    <t xml:space="preserve">Oferta formativa de capacitación docente.  </t>
  </si>
  <si>
    <t>INCLUSIÓN SOCIAL, DESARROLLO REGIONAL Y PROYECCIÓN COMUNITARIA</t>
  </si>
  <si>
    <t>Grupo  Extensión Institucional</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</si>
  <si>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</si>
  <si>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</si>
  <si>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</si>
  <si>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</si>
  <si>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</si>
  <si>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</si>
  <si>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</si>
  <si>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</si>
  <si>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</si>
  <si>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</si>
  <si>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</si>
  <si>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</si>
  <si>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</si>
  <si>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</si>
  <si>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</si>
  <si>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</si>
  <si>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</si>
  <si>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</si>
  <si>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</si>
  <si>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</si>
  <si>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</si>
  <si>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</si>
  <si>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LINEA 12: ASEGURAMIENTO DE LA CALIDAD DE LA GESTIÓN</t>
  </si>
  <si>
    <t>Sensibilizar a la comunidad Uteísta en temas propios de cada área de gestión que fomenten la cultura de planear, hacer, verificar y actuar en pro del mejoramiento continuo de la institución.</t>
  </si>
  <si>
    <t>Oficina de Planeación
Vicerrectoría Administrativa y Financera</t>
  </si>
  <si>
    <r>
      <t>Jornadas de  Sensibilización a la comunidad uteísta en temas que fomenten la cultura de calidad y el mejoramiento continuo de la institución.</t>
    </r>
    <r>
      <rPr>
        <sz val="10"/>
        <color theme="5" tint="-0.499984740745262"/>
        <rFont val="Calibri"/>
        <family val="2"/>
        <scheme val="minor"/>
      </rPr>
      <t/>
    </r>
  </si>
  <si>
    <t>Oficina de Planeación
Dirección Administrativa de
Talento Humano</t>
  </si>
  <si>
    <t>Formación a personal de carrera administrativa y libre nombramiento y remoción vinculado a la institución en sistemas integrados de gestión que apoyan los procesos institucionales.</t>
  </si>
  <si>
    <r>
      <t xml:space="preserve">Grupo de Seguridad y Salud en el Trabajo
Oficina de Planeación/ SIG
Grupo Gestión Documental
Programa Ingeniería </t>
    </r>
    <r>
      <rPr>
        <sz val="10"/>
        <rFont val="Calibri"/>
        <family val="2"/>
        <scheme val="minor"/>
      </rPr>
      <t xml:space="preserve">Ambiental </t>
    </r>
  </si>
  <si>
    <t>Evento "Semana Sistemas Integrados de Gestión".</t>
  </si>
  <si>
    <t>Semana de Seguridad y Salud en el Trabajo</t>
  </si>
  <si>
    <t>Grupo de Seguridad y Salud en el Trabajo - Alta Dirección (Delegado)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</si>
  <si>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</si>
  <si>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</si>
  <si>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Grupo de Seguridad y Salud en el Trabajo</t>
  </si>
  <si>
    <t>Sistema de Gestión de Seguridad y Salud en el Trabajo</t>
  </si>
  <si>
    <t>Plan Sostenibilidad Ambiental 
Norma ISO 14001</t>
  </si>
  <si>
    <t xml:space="preserve">Plan Sostenibilidad Ambiental
</t>
  </si>
  <si>
    <t>Certificación del Sistema de Gestión Ambiental</t>
  </si>
  <si>
    <t>Grupo de Gestión Documental</t>
  </si>
  <si>
    <t>50 metros lineales</t>
  </si>
  <si>
    <t>Programa de Gestión y Plan Institucional de Archivo</t>
  </si>
  <si>
    <t>Capacitaciones de Gestión Documental</t>
  </si>
  <si>
    <t>Oficina de Planeación</t>
  </si>
  <si>
    <t>Desarrollar auditorías de seguimiento por el ente certificador</t>
  </si>
  <si>
    <t>Certificación del Sistema de Calidad. Fecha: Junio 07 / 2019-Junio 02 / 2022</t>
  </si>
  <si>
    <t>Desarrollar auditorías de recertificación por el ente certificador</t>
  </si>
  <si>
    <r>
      <t>Grupo de Extensión Institucional
Decanaturas de Facultad
Oficina de Relaciones
Interinstitucionales e
Internacionales</t>
    </r>
    <r>
      <rPr>
        <sz val="10"/>
        <color rgb="FFFF0000"/>
        <rFont val="Calibri"/>
        <family val="2"/>
        <scheme val="minor"/>
      </rPr>
      <t xml:space="preserve"> </t>
    </r>
  </si>
  <si>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</si>
  <si>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</si>
  <si>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</si>
  <si>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</si>
  <si>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</si>
  <si>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</si>
  <si>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 xml:space="preserve">Oficina de Planeación
Grupo Recursos Informáticos </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</si>
  <si>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</si>
  <si>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</si>
  <si>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</si>
  <si>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</si>
  <si>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</si>
  <si>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Oficina de Planeación
Grupo de Recursos Informáticos</t>
  </si>
  <si>
    <t>Generar informes de resultados cualitativos y cuantitativos que permitan realizar análisis en términos de calidad y mejora continua, en consonancia con los lineamientos aplicados para las instituciones de educación superior.</t>
  </si>
  <si>
    <t>Grupo de Recursos Informáticos
Líderes de Procesos</t>
  </si>
  <si>
    <t>Informes de resultados cualitativos y cuantitativos que permitan realizar análisis en términos de calidad y mejora continua,</t>
  </si>
  <si>
    <t>Informes: Plan de Acción Institucional, Plan de Acción Integrado Institucional, Ejecucion de Plan de Accion 
Informes de Gestión
Informes Estadísticos Institucionales</t>
  </si>
  <si>
    <t xml:space="preserve">Tecnología, conocimiento y sociedad.      </t>
  </si>
  <si>
    <t>Implementar programas de cultura de innovación, apropiación y transferencia de conocimiento y tecnología.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</si>
  <si>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</si>
  <si>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</si>
  <si>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</si>
  <si>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</si>
  <si>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</si>
  <si>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Número de  campañas  desarrolladas  para  el fomento de la cultura verde en la comunidad uteísta.</t>
  </si>
  <si>
    <t>Puntos de resultados de la prueba Saber TyT por programas académicos por encima de la media nacional.</t>
  </si>
  <si>
    <t xml:space="preserve">OFERTAS ACADÉMICAS 
</t>
  </si>
  <si>
    <t xml:space="preserve">Aumentar el número de estudiantes matriculados en los programas académicos de la institución. </t>
  </si>
  <si>
    <t>LINEA 10: GOBERNABILIDAD Y GOBERNANZA</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</si>
  <si>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</si>
  <si>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</si>
  <si>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</si>
  <si>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</si>
  <si>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</si>
  <si>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</si>
  <si>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</si>
  <si>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</si>
  <si>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</si>
  <si>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</si>
  <si>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</si>
  <si>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</si>
  <si>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</si>
  <si>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 xml:space="preserve">
Oficina de Planeación
</t>
  </si>
  <si>
    <t>Resolución 02-476 (Creación de Grupos de Trabajo)</t>
  </si>
  <si>
    <t>Oficina de Relaciones
Interinstitucionales e
Internacionales
Decanaturas de Facultad
Dirección de Investigaciones y Extensión
Bienestar Institucional
Direccion Administrativa de Talento Humano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</si>
  <si>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</si>
  <si>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</si>
  <si>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 xml:space="preserve">Secretaria General
</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</si>
  <si>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</si>
  <si>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</si>
  <si>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</si>
  <si>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</si>
  <si>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</si>
  <si>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 xml:space="preserve">Secretaría General                                   Grupo Mercadeo y Protocolo Institucional.
Grupo Comunicaciones e Imagen Institucional.
Grupo Prensa y Medios de Representación Institucional.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</si>
  <si>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</si>
  <si>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</si>
  <si>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</si>
  <si>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</si>
  <si>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</si>
  <si>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</si>
  <si>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</si>
  <si>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</si>
  <si>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</si>
  <si>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Oficina de Planeación
Dirección de Investigaciones y Extensión
Oficina de Desarrollo Académico
Dirección Administrativa de Talento Humano</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</si>
  <si>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</si>
  <si>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1-Plan Institucional de Capcacitación PIC
2-Código de Integridad 
3-Política Institucional sobre Equidad y Género</t>
  </si>
  <si>
    <t xml:space="preserve">
Grupo de Bienestar Institucional
Dirección Administrativa de Talento Humano</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</si>
  <si>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</si>
  <si>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</si>
  <si>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</si>
  <si>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</si>
  <si>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</si>
  <si>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 xml:space="preserve">Fortalecer los resultados de las pruebas Saber T y T y Saber PRO en los estudiantes de nivel tecnológico y profesional, habilitados para la presentación de la prueba. </t>
  </si>
  <si>
    <t>Número de proyectos de investigación aplicada avalados por la institución.</t>
  </si>
  <si>
    <t xml:space="preserve">Número de proyectos y/o productos de investigación y extensión en redes de valor. </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</si>
  <si>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</si>
  <si>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</si>
  <si>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</si>
  <si>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</si>
  <si>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</si>
  <si>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</si>
  <si>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</si>
  <si>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 xml:space="preserve">Oficina de infraestructura
Grupo de Recursos Informáticos </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</si>
  <si>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</si>
  <si>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</si>
  <si>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</si>
  <si>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</si>
  <si>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</si>
  <si>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Porcentaje de participación de la comunidad uteísta en las campañas de sensibilización en asuntos de género, equidad, diversidad e inclusión.</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</si>
  <si>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</si>
  <si>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</si>
  <si>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</si>
  <si>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</si>
  <si>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UTS
6 puntos por encima de la media nacional</t>
  </si>
  <si>
    <t>UTS
5 puntos por debajo de la media nacional</t>
  </si>
  <si>
    <t>18000 promedio (2020)</t>
  </si>
  <si>
    <t>Crear proceso o grupo de trabajo para  movilidad y visibilidad académica que propicie estrategias de intercambio de conocimientos y experiencias pedagógicas, académicas, científicas y culturales, nivel nacional e internacional.</t>
  </si>
  <si>
    <t>EL CURRÍCULO EN LA DINÁMICA EDUCATIVA</t>
  </si>
  <si>
    <t>Porcentaje  de productos sobre ciencia,  tecnología,  innovación o  educación, destacados en la institución respecto a productos presentados.</t>
  </si>
  <si>
    <t>Porcentaje de Docentes TC con Maestría o Doctorado dedicados a Investigación.</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</si>
  <si>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</si>
  <si>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</si>
  <si>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</si>
  <si>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</si>
  <si>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Decanaturas de Facultad
Oficina de Desarrollo Académico.</t>
  </si>
  <si>
    <t>Decanaturas de Facultad
Oficina de Desarrollo académico.</t>
  </si>
  <si>
    <t>Decanaturas de Facultad</t>
  </si>
  <si>
    <t xml:space="preserve">Decanaturas de Facultad 
Oficina de Desarrollo Académico .                  Oficina de Relaciones Interinstitucionales e Internacionales.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</si>
  <si>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</si>
  <si>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Porcentaje de Docentes vinculados Tiempo Completo, Medio Tiempo y de Carrera con Maestría o Doctorado.</t>
  </si>
  <si>
    <t>Porcentaje de Docentes capacitados en relación a los docentes contratados</t>
  </si>
  <si>
    <t>8 puntos</t>
  </si>
  <si>
    <t>10 puntos</t>
  </si>
  <si>
    <t>12 puntos</t>
  </si>
  <si>
    <t>14 puntos</t>
  </si>
  <si>
    <t>16 puntos</t>
  </si>
  <si>
    <t>18 puntos</t>
  </si>
  <si>
    <t>20 puntos</t>
  </si>
  <si>
    <t>1 puntos</t>
  </si>
  <si>
    <t>3 puntos</t>
  </si>
  <si>
    <t>5 puntos</t>
  </si>
  <si>
    <t>7 puntos</t>
  </si>
  <si>
    <t>9 puntos</t>
  </si>
  <si>
    <t>-3 puntos</t>
  </si>
  <si>
    <t>-1 puntos</t>
  </si>
  <si>
    <t>Puntos de resultados de la prueba SABER PRO por programas académicos por encima de la media nacional.</t>
  </si>
  <si>
    <t>Oficina de Desarrollo Académico .                             Grupo de Bienestar  Institucional.</t>
  </si>
  <si>
    <t>Cultura ciudadana y formación integral.</t>
  </si>
  <si>
    <t>Investigación aplicada al servicio del sector externo.</t>
  </si>
  <si>
    <r>
      <t>MEDICIÓN DE LAS METAS
(</t>
    </r>
    <r>
      <rPr>
        <sz val="10"/>
        <color theme="1"/>
        <rFont val="Calibri"/>
        <family val="2"/>
        <scheme val="minor"/>
      </rPr>
      <t>Anual o Acumulado)</t>
    </r>
  </si>
  <si>
    <t>Grupo de Extensión Institucional</t>
  </si>
  <si>
    <t>Grupo de Extensión Institucional
Decanaturas de Facultad</t>
  </si>
  <si>
    <t>Grupo de Extensión Institucional 
Decanaturas de Facultad</t>
  </si>
  <si>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</si>
  <si>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</si>
  <si>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</si>
  <si>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</si>
  <si>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</si>
  <si>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</si>
  <si>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</si>
  <si>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</si>
  <si>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</si>
  <si>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</si>
  <si>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</si>
  <si>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</si>
  <si>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</si>
  <si>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</si>
  <si>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</si>
  <si>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</si>
  <si>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</si>
  <si>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</si>
  <si>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</si>
  <si>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</si>
  <si>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</si>
  <si>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</si>
  <si>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</si>
  <si>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</si>
  <si>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Grupo de Bienestar Institucional
Oficina de Relaciones Interinstitucionales e Internacionales</t>
  </si>
  <si>
    <t xml:space="preserve"> Grupo Departamento de Humanidades
Grupo de Bienestar Institucional</t>
  </si>
  <si>
    <t xml:space="preserve"> Grupo Departamento de Humanidades
Dirección Administrativa de Talento Humano
Grupo de Bienestar Institucional</t>
  </si>
  <si>
    <t>Dirección Administrativa de Talento Humano
Grupo de Bienestar Institucional</t>
  </si>
  <si>
    <t xml:space="preserve">Dirección Administrativa de Talento Humano
Grupo de Bienestar Institucional
Oficina de Desarrollo Académico </t>
  </si>
  <si>
    <t>Coordinación Programa Profesional en Actividad Física y Deporte 
Grupo Bienestar Institucional
Oficina de Relaciones Interinstitucionales e Internacionales</t>
  </si>
  <si>
    <t>Grupo de Bienestar Institucional</t>
  </si>
  <si>
    <t>Oficina de Desarrollo Académico
Grupo de Bienestar institucional</t>
  </si>
  <si>
    <t>Oficina Jurídica
Grupo de Recursos Informáticos
Oficina de Admisiones, Registro y Control
Grupo de Bienestar Institucional</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</si>
  <si>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</si>
  <si>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</si>
  <si>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</si>
  <si>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Número de estrategias que muestren las aptitudes artísticas y culturales de la comunidad uteísta fomentando la construcción de la paz.</t>
  </si>
  <si>
    <t xml:space="preserve">Secretaría General </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</si>
  <si>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</si>
  <si>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</si>
  <si>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</si>
  <si>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</si>
  <si>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</si>
  <si>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</si>
  <si>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</si>
  <si>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</si>
  <si>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</si>
  <si>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</si>
  <si>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</si>
  <si>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</si>
  <si>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</si>
  <si>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Dirección Administrativa de  Talento Humano
Grupo de Bienestar Institucional</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</si>
  <si>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</si>
  <si>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</si>
  <si>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</si>
  <si>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</si>
  <si>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</si>
  <si>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</si>
  <si>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</si>
  <si>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</si>
  <si>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</si>
  <si>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</si>
  <si>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</si>
  <si>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</si>
  <si>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</si>
  <si>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</si>
  <si>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</si>
  <si>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</si>
  <si>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</si>
  <si>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</si>
  <si>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</si>
  <si>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</si>
  <si>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</si>
  <si>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</si>
  <si>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</si>
  <si>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</si>
  <si>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</si>
  <si>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</si>
  <si>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</si>
  <si>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</si>
  <si>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</si>
  <si>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</si>
  <si>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</si>
  <si>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</si>
  <si>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</si>
  <si>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</si>
  <si>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</si>
  <si>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ALTA
(87%)</t>
  </si>
  <si>
    <t>MEDIA
(67%)</t>
  </si>
  <si>
    <r>
      <t>Fomentar la internacionalización del currículo en función de la doble titulación.</t>
    </r>
    <r>
      <rPr>
        <sz val="10"/>
        <color rgb="FFFF0000"/>
        <rFont val="Calibri"/>
        <family val="2"/>
        <scheme val="minor"/>
      </rPr>
      <t/>
    </r>
  </si>
  <si>
    <t>MEDIA
(60%)</t>
  </si>
  <si>
    <t>COSTO ESTIMADO DEL INDICADOR POR AÑO</t>
  </si>
  <si>
    <t>IPC</t>
  </si>
  <si>
    <t>ESTIMACIÓN COSTOS ANUALES POR INDICADOR</t>
  </si>
  <si>
    <t>ESTIMACIÓN COSTOS TOTALES POR INDICADOR</t>
  </si>
  <si>
    <t>ESTIMACIÓN COSTOS TOTALES POR PROYECTO</t>
  </si>
  <si>
    <t>20.000 consultas de estudiantes (material bibliográfico)</t>
  </si>
  <si>
    <t>1060 consultas docentes
(material bibliográfico)</t>
  </si>
  <si>
    <t>PROYECTOS</t>
  </si>
  <si>
    <t>EJE ESTRATÉGICO 1:  UTS DEL CONOCIMIENTO</t>
  </si>
  <si>
    <t>LINEA ESTRATÉGICA 1.1  EXCELENCIA ACADÉMICA</t>
  </si>
  <si>
    <t>LINEA ESTRATÉGICA 1.2  CIENCIA E INVESTIGACIÓN</t>
  </si>
  <si>
    <t>LINEA ESTRATÉGICA 1.3  EXTENSIÓN Y GESTIÓN SOCIAL</t>
  </si>
  <si>
    <t>LINEA ESTRATÉGICA 1.4  ASEGURAMIENTO DE LA CALIDAD DE LA EDUCACIÓN</t>
  </si>
  <si>
    <t>EJE ESTRATÉGICO 2:  UTS INNOVA</t>
  </si>
  <si>
    <t>LINEA ESTRATÉGICA 2.5  INNOVACIÓN Y PRODUCTIVIDAD</t>
  </si>
  <si>
    <t>LINEA ESTRATÉGICA 2.6  EMPRENDIMIENTO, CREATIVIDAD Y COMPETITIVIDAD</t>
  </si>
  <si>
    <t>EJE ESTRATÉGICO 3:  UTS GLOBAL</t>
  </si>
  <si>
    <t>LINEA ESTRATÉGICA 3.7  INTERNACIONALIZACIÓN, VISIBILIDAD E IMPACTO</t>
  </si>
  <si>
    <t>LINEA ESTRATÉGICA 4.8  COMUNIDAD Y CULTURA INSTITUCIONAL</t>
  </si>
  <si>
    <t>LINEA ESTRATÉGICA 4.9  DIVERSIDAD E INCLUSIÓN</t>
  </si>
  <si>
    <t>EJE ESTRATÉGICO 5:  UTS SOSTENIBLE</t>
  </si>
  <si>
    <t>TOTALES</t>
  </si>
  <si>
    <t>COSTO TOTAL DEL PROYECTO
(7 AÑOS)</t>
  </si>
  <si>
    <t>COSTO TOTAL 
DEL PROGRAMA</t>
  </si>
  <si>
    <t>PROGRAMA 1.1.1  EDUCACIÓN INCLUYENTE Y DE CALIDAD PARA TODOS</t>
  </si>
  <si>
    <t>PROGRAMA 1.1.2  EL CURRICULO EN LA DINÁMICA EDUCATIVA</t>
  </si>
  <si>
    <t xml:space="preserve">PROGRAMA 1.1.3  ACADEMIA COMPETITIVA Y EFICIENTE     </t>
  </si>
  <si>
    <t>PROGRAMA 1.1.5  GESTIÓN ACADÉMICA INTEGRAL</t>
  </si>
  <si>
    <t>PROGRAMA 1.1.7  AMBIENTES DE APRENDIZAJE</t>
  </si>
  <si>
    <t xml:space="preserve">Fomentar el uso de diversos ambientes de aprendizaje, para soportar los procesos formativos. </t>
  </si>
  <si>
    <t>PROGRAMA 1.2.1  GESTIÓN DEL CONOCIMIENTO</t>
  </si>
  <si>
    <t>PROGRAMA 1.2.2  PRODUCCIÓN ACADÉMICA, CIENTÍFICA Y TECNOLÓGICA</t>
  </si>
  <si>
    <t>PROGRAMA 1.2.3  LABORATORIO DE CULTURA CIUDADANA</t>
  </si>
  <si>
    <t>PROGRAMA 1.3.1  ACADEMIA Y ENTORNO</t>
  </si>
  <si>
    <t>PROGRAMA 1.3.2  PROYECTOS Y SERVICIOS DE PROYECCIÓN SOCIAL</t>
  </si>
  <si>
    <t>PROGRAMA 1.3.3  IMPACTO SOCIAL Y ACADÉMICO</t>
  </si>
  <si>
    <t>PROGRAMA 1.3.4  INTERCAMBIO DE EXPERIENCIAS ACADÉMICAS Y CIENTÍFICAS</t>
  </si>
  <si>
    <t>PROGRAMA 1.3.5  SEGUIMIENTO Y ACOMPAÑAMIENTO A GRADUADOS</t>
  </si>
  <si>
    <t>PROGRAMA 1.3.6  ACTUALIZACIÓN DE CONOCIMIENTO Y EDUCACIÓN CONTINUA</t>
  </si>
  <si>
    <t>PROGRAMA 1.3.7  OFERTA DE SERVICIOS E INFORMACIÓN</t>
  </si>
  <si>
    <t>PROGRAMA 1.4.1  CULTURA DE LA CALIDAD EDUCATIVA</t>
  </si>
  <si>
    <t>PROGRAMA 1.4.2  AUTOEVALUACIÓN Y AUTORREGULACIÓN</t>
  </si>
  <si>
    <t>PROGRAMA 1.4.3  GESTIÓN DE LA INFORMACIÓN ACADÉMICA</t>
  </si>
  <si>
    <t>PROGRAMA 2.5.1  UTSmart</t>
  </si>
  <si>
    <t xml:space="preserve">PROGRAMA 2.5.2  INNOVACIÓN PEDAGÓGICA </t>
  </si>
  <si>
    <t xml:space="preserve">PROGRAMA 2.5.3  INNOVACIÓN EN INVESTIGACIÓN </t>
  </si>
  <si>
    <t>PROGRAMA 2.5.4  INNOVACIÓN ORGANIZACIONAL</t>
  </si>
  <si>
    <t>PROGRAMA 2.5.5  CENTRO DE INNOVACIÓN Y PRODUCTIVIDAD - CIP</t>
  </si>
  <si>
    <t>PROGRAMA 2.6.1  CENTRO ACADÉMICO PARA EL FOMENTO DEL EMPRENDIMIENTO - CAFE UTS</t>
  </si>
  <si>
    <t>PROGRAMA 3.7.1  COOPERACIÓN NACIONAL E INTERNACIONAL</t>
  </si>
  <si>
    <t>PROGRAMA 3.7.2  MULTILINGÜISMO Y MULTICULTURALIDAD</t>
  </si>
  <si>
    <t>PROGRAMA 3.7.3  MOVILIDAD E INTERACCIÓN CON EL ENTORNO</t>
  </si>
  <si>
    <t>EJE ESTRATÉGICO 4:  UTS HUMANA</t>
  </si>
  <si>
    <t>PROGRAMA 4.8.1  DESARROLLO HUMANO INTEGRAL</t>
  </si>
  <si>
    <t>PROGRAMA 4.8.2  CULTURA Y PROMOCIÓN ARTÍSTICA</t>
  </si>
  <si>
    <t>PROGRAMA 4.8.3  ACTIVIDAD FÍSICA Y DEPORTE</t>
  </si>
  <si>
    <t>PROGRAMA 4.8.4  PROMOCIÓN Y PREVENCIÓN EN SALUD</t>
  </si>
  <si>
    <t>PROGRAMA 4.8.5  ACOMPAÑAMIENTO Y PERMANENCIA</t>
  </si>
  <si>
    <t>PROGRAMA 4.9.1  MULTICULTURALIDAD SIN DISTINCIÓN</t>
  </si>
  <si>
    <t>PROGRAMA 4.9.2  EQUIDAD, GÉNERO Y DIVERSIDAD EN EDUCACIÓN</t>
  </si>
  <si>
    <t>PROGRAMA 4.9.3  INCLUSIÓN SOCIAL, DESARROLLO REGIONAL Y PROYECCIÓN COMUNITARIA</t>
  </si>
  <si>
    <t>PROGRAMA 5.11.1  EFICIENCIA Y SOSTENIBILIDAD FINANCIERA</t>
  </si>
  <si>
    <t>PROGRAMA 1.1.4  OFERTAS ACADÉMICAS</t>
  </si>
  <si>
    <t>ESTIMACIÓN DE COSTOS</t>
  </si>
  <si>
    <t>FUENTES DE FINANCIACIÓN</t>
  </si>
  <si>
    <t>COSTO TOTAL 
DE LA LÍNEA ESTRATÉGICA</t>
  </si>
  <si>
    <t>FINANCIACIÓN TOTAL</t>
  </si>
  <si>
    <t>FINANCIACIÓN 
DEL PROYECTO</t>
  </si>
  <si>
    <t>FINANCIACIÓN 
DEL PROGRAMA</t>
  </si>
  <si>
    <t>FINANCIACIÓN DE LA 
LÍNEA ESTRATÉGICA</t>
  </si>
  <si>
    <t>Cultura y pensamiento.</t>
  </si>
  <si>
    <t>LINEA ESTRATÉGICA 5.10  GOBERNABILIDAD Y GOBERNANZA</t>
  </si>
  <si>
    <t>LINEA ESTRATÉGICA 5.11  DESARROLLO, GESTIÓN Y SOSTENIBILIDAD</t>
  </si>
  <si>
    <t>PROGRAMA 5.11.2  GESTIÓN, COMPROMISO Y SOSTENIBILIDAD AMBIENTAL</t>
  </si>
  <si>
    <t>PROGRAMA 5.11.3  RESPONSABILIDAD Y SOSTENIBILIDAD  SOCIAL</t>
  </si>
  <si>
    <t>PROGRAMA 5.10.1  GESTIÓN INSTITUCIONAL</t>
  </si>
  <si>
    <t>PROGRAMA 5.10.2  CULTURA ORGANIZACIONAL Y DESARROLLO DEL TALENTO HUMANO</t>
  </si>
  <si>
    <t>PROGRAMA 5.10.3  REPRESENTATIVIDAD EFECTIVA</t>
  </si>
  <si>
    <t>PROGRAMA 5.10.4  GOBIERNO, TRANSPARENCIA Y PARTICIPACIÓN</t>
  </si>
  <si>
    <t>PROGRAMA 5.10.5  COMUNICACIÓN Y DIFUSIÓN DE LA INFORMACIÓN</t>
  </si>
  <si>
    <t>ALTA 
(91%)</t>
  </si>
  <si>
    <t>ALTA 
(84%)</t>
  </si>
  <si>
    <t>ALTA 
(100%)</t>
  </si>
  <si>
    <t>MEDIA 
(79%)</t>
  </si>
  <si>
    <t>ALTA 
(80%)</t>
  </si>
  <si>
    <t>MEDIA 
(74%)</t>
  </si>
  <si>
    <t>ALTA 
(98%)</t>
  </si>
  <si>
    <t>OTROS PROGRAMAS DE INVERSION</t>
  </si>
  <si>
    <t>RECURSOS DE LA NACIÓN</t>
  </si>
  <si>
    <t>CONVENIOS INTERADMINISTRATIVOS GOBERNACIÓN</t>
  </si>
  <si>
    <t>ORDENANZA DEPARTAMENTAL SMMLV</t>
  </si>
  <si>
    <t>RECURSOS PRO UIS</t>
  </si>
  <si>
    <t>RECURSOS DE FUNCIONAMIENTO</t>
  </si>
  <si>
    <t>RECURSOS POR INVESTIGACIÓN BÁSICA Y APLICADA</t>
  </si>
  <si>
    <t>RECURSOS PROPIOS BIBLIOTECA</t>
  </si>
  <si>
    <t>NO APLICA</t>
  </si>
  <si>
    <t>OTROS PROGRAMAS DE INVERSION
RECURSOS PROPIOS</t>
  </si>
  <si>
    <t>TOTAL DE LA LÍNEA ESTRATÉGICA</t>
  </si>
  <si>
    <t>Estrategias de innovación  educativas diseñadas e implementadas en cada programa académico</t>
  </si>
  <si>
    <t>Estrategias de divulgación acerca del protocolo de prevención y atención   a situaciones de violencias relacionadas con género y diversidad.</t>
  </si>
  <si>
    <t xml:space="preserve">
RECURSOS DE FUNCIONAMIENTO</t>
  </si>
  <si>
    <t xml:space="preserve"> RECURSOS PROPIOS DE INVERSION </t>
  </si>
  <si>
    <t xml:space="preserve">RECURSOS POR INVESTIGACIÓN BÁSICA Y APLICADA
FUENTE BIENESTAR INSTITUCIONAL </t>
  </si>
  <si>
    <t>NO APLICA PARA FUENTE DE INVERSION</t>
  </si>
  <si>
    <t xml:space="preserve">RECURSOS DE LA NACIÓN
 RECURSOS PROPIOS DE INVERSIÓN </t>
  </si>
  <si>
    <t xml:space="preserve">RECURSOS DE BIENESTAR INSTITUCIONAL </t>
  </si>
  <si>
    <t xml:space="preserve">RECURSOS PROPIOS DE INVERSIÓN </t>
  </si>
  <si>
    <t>RECURSOS DE FUNCIONAMIENTO
RUBRO DE PROYECCION SOCIAL</t>
  </si>
  <si>
    <t xml:space="preserve">RECURSOS DE FUNCIONAMIENTO RECURSOS DE INVERSION </t>
  </si>
  <si>
    <t>RECURSOS DE LA NACIÓN
RECURSOS DE BIENESTAR INSTITUCIONAL</t>
  </si>
  <si>
    <t>OTROS PROGRAMAS DE INVERSION
RECURSOS DE BIENESTAR INSTITUCIONAL</t>
  </si>
  <si>
    <t xml:space="preserve">PLAN FINANCIERO Y DE INVERSIONES - PEDI </t>
  </si>
  <si>
    <t>RECURSOS PROYECCION SOCIAL</t>
  </si>
  <si>
    <t>PROGRAMA 1.1.6 VINCULACIÓN Y PERFECCIONAMIENTO DOCENTE</t>
  </si>
  <si>
    <t>VINCULACIÓN Y PERFECCIONAMIENTO DOCENTE</t>
  </si>
  <si>
    <t xml:space="preserve">ORDENANZA DEPARTAMENTAL SMMLV
 RECURSOS PROPIOS DE INVERSION </t>
  </si>
  <si>
    <t>Porcentaje de uso de recursos educativos digitales en relación a los cursos existentes.</t>
  </si>
  <si>
    <t>Número de consultas bibliográficas  de docentes contratados.</t>
  </si>
  <si>
    <r>
      <t xml:space="preserve"> 
</t>
    </r>
    <r>
      <rPr>
        <sz val="10"/>
        <color theme="1"/>
        <rFont val="Calibri (Cuerpo)"/>
      </rPr>
      <t>RECURSOS PROPIOS DE INVERSION</t>
    </r>
    <r>
      <rPr>
        <sz val="10"/>
        <color theme="1"/>
        <rFont val="Calibri"/>
        <family val="2"/>
        <scheme val="minor"/>
      </rPr>
      <t xml:space="preserve">
RECURSOS DE FUNCIONAMIENTO</t>
    </r>
  </si>
  <si>
    <t xml:space="preserve">Número de estudiantes matriculados promedio anual en los programas académicos. </t>
  </si>
  <si>
    <t>Porcentaje de estudiantes  del primer nivel de formación propedéutica que presentan prueba contraste.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</si>
  <si>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</si>
  <si>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</si>
  <si>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</si>
  <si>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</si>
  <si>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</si>
  <si>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Promover estrategias de formación en el manejo de segunda lengua para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</si>
  <si>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</si>
  <si>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</si>
  <si>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</si>
  <si>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</si>
  <si>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</si>
  <si>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</si>
  <si>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Fortalecer el bienestar social  y el desarrollo integral en correspondencia con el modelo de gobernanza UteÍsta, extendida a la comunidad Institucional.</t>
  </si>
  <si>
    <t xml:space="preserve">Fomentar el conocimiento, apropiación y sentido de pertenencia de la comunidad Uteísta en los diferentes sistemas integrados de gestión. </t>
  </si>
  <si>
    <t>Fortalecimiento  del sistema de gestión de seguridad y salud en el trabajo.</t>
  </si>
  <si>
    <t xml:space="preserve">Certificar y fortalecer el sistema de gestión ambiental. </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</si>
  <si>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</si>
  <si>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</si>
  <si>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</si>
  <si>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</si>
  <si>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 xml:space="preserve">Número de proyectos de investigación en ciencia, tecnología e innovación, avalados institucionalmente. </t>
  </si>
  <si>
    <t>Número de productos  en la tipología Apropiación Social del Conocimiento (ASC) específicamente en estrategias pedagógicas, eventos científicos y/o académicos, estrategias de comunicación, talleres de creación y generación de contenidos.</t>
  </si>
  <si>
    <t>Número de productos en las tipologías Desarrollo Tecnológico e Innovación (DTI) y Apropiación Social del Conocimiento (ASC).</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</si>
  <si>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</si>
  <si>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</si>
  <si>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</si>
  <si>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</si>
  <si>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</si>
  <si>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</si>
  <si>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</si>
  <si>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</si>
  <si>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</si>
  <si>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</si>
  <si>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Número de estrategias que fomenten la capacidad de relacionarse y comunicarse dentro de la comunidad uteísta y el sentido de pertenencia y compromiso individual con la institución.</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</si>
  <si>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</si>
  <si>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</si>
  <si>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</si>
  <si>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 xml:space="preserve">Creación del plan de sostenibilidad social </t>
  </si>
  <si>
    <t>Implementación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</si>
  <si>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</si>
  <si>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</si>
  <si>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</si>
  <si>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</si>
  <si>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</si>
  <si>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Documentar y desarrollar acciones para la  implementación del sistema de gestión ambiental.</t>
  </si>
  <si>
    <t xml:space="preserve">Certificación del sistema de gestión ambiental ante el ente correspondiente.  </t>
  </si>
  <si>
    <t>Fortalecimiento y mantenimiento de la certificación del sistema de gestión ambiental.</t>
  </si>
  <si>
    <t>Implementar el modelo de gestión de documentos electrónicos.</t>
  </si>
  <si>
    <t>Implementar un repositorio de documentos institucionales (Digitalización/ Big Data).</t>
  </si>
  <si>
    <t>Mantener el programa de gestión documental y el plan institucional de archivo.</t>
  </si>
  <si>
    <t>Plan de fortalecimiento de la cultura de gestión documental en la comunidad uteísta.</t>
  </si>
  <si>
    <t>Radicación de Documento Maestro de programas nuevos y en renovación ante el MEN.</t>
  </si>
  <si>
    <t>Adquisición de un aplicativo de seguimiento, medición y evaluación de planes, programas, proyectos e indicadores.</t>
  </si>
  <si>
    <t>Decanaturas de Facultad
Oficina de Desarrollo Académico
Dirección de Investigaciones y Extensión
Grupo de Departamentos</t>
  </si>
  <si>
    <t>Decanaturas de Facultad
Oficina de Desarrollo Académico
Dirección de Investigaciones y Extensión</t>
  </si>
  <si>
    <t>Dirección de Investigaciones y Extensión.                       Decanaturas de Facultad</t>
  </si>
  <si>
    <t>Dirección de Investigaciones y Extensión.                        Decanaturas de Facultad</t>
  </si>
  <si>
    <t>Oficina de Relaciones Interinstitucionales e Internacionales.                                            Dirección de Investigaciones y Extensión.</t>
  </si>
  <si>
    <t>Dirección de Investigaciones y Extensión.                
Decanaturas de Facultad                Oficina de Relaciones Interinstitucionales e Internacionales.</t>
  </si>
  <si>
    <t xml:space="preserve">Dirección de Investigaciones y Extensión.                          Decanaturas de Facultad </t>
  </si>
  <si>
    <t>Dirección de Investigaciones y Extensión.              
Decanaturas de Facultad                       Oficina de Desarrollo Académico.</t>
  </si>
  <si>
    <t xml:space="preserve">Dirección de Investigaciones y Extensión.                         Decanaturas de Facultad </t>
  </si>
  <si>
    <t>Dirección de Investigaciones y Extensión</t>
  </si>
  <si>
    <t>Dirección de Investigaciones y Extensión
Decanaturas de Facultad</t>
  </si>
  <si>
    <t>Dirección de Investigaciones y Extensión
Oficina de Infraestructura</t>
  </si>
  <si>
    <t>Dirección de Investigaciones y Extensión.</t>
  </si>
  <si>
    <t>Grupo de Comunicaciones e Imagen Institucional 
Dirección de Investigaciones y Extensión</t>
  </si>
  <si>
    <t xml:space="preserve">Dirección de Investigaciones y Extensión </t>
  </si>
  <si>
    <t>Grupo Departamento de Idiomas 
Oficina de Relaciones
Interinstitucionales e
Internacionales</t>
  </si>
  <si>
    <t>Grupo Departamento de Idiomas
Oficina Desarrollo Académico</t>
  </si>
  <si>
    <t>Grupo Departamento de Idiomas</t>
  </si>
  <si>
    <t>Grupo Departamento de Idiomas
Decanaturas de Facultad</t>
  </si>
  <si>
    <t xml:space="preserve">Grupo Departamento de Idiomas </t>
  </si>
  <si>
    <t>Oficina de Relaciones
Interinstitucionales e
Internacionales
Grupo Departamento de Idiomas
Grupo Departamento de Humanidades</t>
  </si>
  <si>
    <t>Grupo Departamento de Idiomas
Grupo Departamento de Humanidades
Oficina de Relaciones
Interinstitucionales e
Internacionales</t>
  </si>
  <si>
    <t>Grupo Departamento de Idiomas
Grupo Departamento de Humanidades
Bienestar Institucional
Oficina de Relaciones
Interinstitucionales e
Internacionales</t>
  </si>
  <si>
    <t>Decanaturas de Facultad
Dirección de Investigaciones y Extensión
Grupo Departamentos de Humanidades 
Grupo Departamento de Idiomas
Bienestar Institucional
Oficina de Relaciones
Interinstitucionales e
Internacionales</t>
  </si>
  <si>
    <t>Oficina de Desarrollo Académico.
Decanaturas de Facultad
Grupo Departamentos de Humanidades
Grupo Departamento de Idiomas
Grupo de Educación Virtual y TIC</t>
  </si>
  <si>
    <t>Vicerrectoría Académica
Grupo de Bienestar Institucional
Grupo Departamento de Humanidades</t>
  </si>
  <si>
    <t>Fortalecer la oferta de programas académicos en modalidad presencial o virtual que contribuyan al desarrollo social y económico de las regiones.</t>
  </si>
  <si>
    <t>Decanaturas de Facultad
Dirección de Regionalización
Oficina de Autoevaluación y Calidad.
Oficina de desarrollo Académico     
Dirección de Investigaciones y Extensión</t>
  </si>
  <si>
    <r>
      <t xml:space="preserve">Oficina de Autoevaluación y Calidad
Decanaturas de Facultad
Vicerrectoría Académica
Vicerrectoría Administrativa y Financiera
</t>
    </r>
    <r>
      <rPr>
        <sz val="10"/>
        <rFont val="Calibri"/>
        <family val="2"/>
        <scheme val="minor"/>
      </rPr>
      <t>Oficina de Planeación
Dirección de Regionalización</t>
    </r>
  </si>
  <si>
    <t>Decanaturas de Facultad                        Dirección de Regionalización</t>
  </si>
  <si>
    <t>Grupo de Extensión Institucional
Decanaturas de Facultad
Grupo de Comunicaciones e Imagen Institucional</t>
  </si>
  <si>
    <t>Secretaría General - 
Grupo de Comunicaciones e Imagen Institucional
Grupo de Bienestar Institucional</t>
  </si>
  <si>
    <t>Grupo de Extensión Institucional
Grupo de Comunicaciones e Imagen Institucional
Grupo de Prensa y Medios de Representación Institucional</t>
  </si>
  <si>
    <t>Decanaturas de Facultad
Oficina de Infraestructura.         Grupo Recursos Físicos.
Grupo de Recursos Informáticos
Grupo de Educación Virtual y TIC.</t>
  </si>
  <si>
    <t>Grupo de Extensión Institucional
Grupo de Recursos Informáticos</t>
  </si>
  <si>
    <t>Dirección de Investigaciones y Extensión
Grupo de Comunicaciones e Imagen Institucional
Decanaturas de Facultad
Bienestar Institucional</t>
  </si>
  <si>
    <t>Decanaturas de Facultad
Grupo de Educación Virtual y TIC</t>
  </si>
  <si>
    <t>Prueba diagnóstica (placement test) a docentes para medir nivel de competencia en inglés.</t>
  </si>
  <si>
    <t>Porcentaje de docentes (Planta, Tiempo Completo y Medio Tiempo) con nivel de competencia intermedio alto B2 o superior de inglés.</t>
  </si>
  <si>
    <t>Crear el plan de actividades de promoción en salud y prevención de la enfermedad que contribuyan al mejoramiento de la calidad de vida y a la formación integral de la comunidad Uteísta.</t>
  </si>
  <si>
    <t>Grupo de Recursos Informáticos
Grupo de Admisiones, Registro y Control Académico
Grupo de Bienestar Institucional</t>
  </si>
  <si>
    <t>Desarrollar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</si>
  <si>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</si>
  <si>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</si>
  <si>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</si>
  <si>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</si>
  <si>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de Investigaciones y Extensión
Dirección Administrativa de  Talento Humano</t>
  </si>
  <si>
    <t>Oficina de Planeación
(Comité de Gestión y Desempeño) 
Dirección Administrativa de  Talento Humano</t>
  </si>
  <si>
    <t>Dirección Administrativa de Talento Humano.</t>
  </si>
  <si>
    <t>Oficina de Planeación 
Grupo de Atención al
Ciudadano</t>
  </si>
  <si>
    <t>Dirección Administrativa de  Talento Humano
Grupo Extensión institucional
Grupo de Bienestar Institucional</t>
  </si>
  <si>
    <t>Mantener la certificación del sistema de calidad (NTC ISO 9001:2015).</t>
  </si>
  <si>
    <t>Vicerrectoría Adminstrativa y Financiera 
Programa Ing. Ambiental</t>
  </si>
  <si>
    <t>Número de proyectos formulados en investigación aplicada.</t>
  </si>
  <si>
    <t>Grupo Educación Virtual y TIC.                     
Oficina de Desarrollo Académico.                    
Decanaturas de Facultad                     
Dirección de Investigaciones y Extensión.         
Grupo Departamento de Humanidades.        
Departamento  Ciencias Básicas.</t>
  </si>
  <si>
    <t>Grupo Educación Virtual y TIC.             
Decanaturas de Facultad
Dirección de Investigaciones y Extensión.</t>
  </si>
  <si>
    <t>Dirección Administrativa  de Talento Humano
Grupo de Bienestar Institucional.</t>
  </si>
  <si>
    <t xml:space="preserve">Dirección Administrativa de Talento Humano
Grupo de Bienestar Institucional </t>
  </si>
  <si>
    <t>Grupo de Bienestar Institucional
Secretaria General
Control Interno Disciplinario</t>
  </si>
  <si>
    <t xml:space="preserve">Grupo de Bienestar Institucional
Oficina de Desarrollo Académico </t>
  </si>
  <si>
    <t xml:space="preserve">Alta Dirección
Vicerrectoría Administrativa y Financiera
Dirección de Investigaciones y Extensión </t>
  </si>
  <si>
    <t xml:space="preserve">Alta Dirección
Vicerrectoría Administrativa y Financiera </t>
  </si>
  <si>
    <t xml:space="preserve">Vicerrectoría Administrativa y Financiera
Programa de Ingeniería Ambiental
Dirección Administrativa de Talento Humano- </t>
  </si>
  <si>
    <t>Dirección Administrativa de Talento Humano
Vicerrectoría Administrativa y Financiera
Grupo de Bienestar Institucional</t>
  </si>
  <si>
    <t xml:space="preserve">Dirección Administrativa de Talento Humano
Vicerrectoría Administrativa y Financiera </t>
  </si>
  <si>
    <t>Grupo de Seguridad y Salud en el Trabajo
Alta Dirección (Delegado)</t>
  </si>
  <si>
    <r>
      <t xml:space="preserve">Vicerrectoría Adminstrativa y Financiera 
Programa Ingeniería  Ambiental
</t>
    </r>
    <r>
      <rPr>
        <sz val="10"/>
        <rFont val="Calibri"/>
        <family val="2"/>
        <scheme val="minor"/>
      </rPr>
      <t>Alta Dirección (Delegado)</t>
    </r>
  </si>
  <si>
    <t xml:space="preserve">Número de consultas bibliográficas que apoyen el proceso de enseñanza-aprendizaje de la institución. </t>
  </si>
  <si>
    <t>Dirección de Investigaciones y Extensión.
Decanaturas de Facultad</t>
  </si>
  <si>
    <t>Decanatura de Ciencias Naturales e Ingenierías 
Dirección Administrativa de  Talento Humano</t>
  </si>
  <si>
    <t>Porcentaje de recursos de la base presupuestal asignada mediante la modificación de los artículos 86-87 de la Ley 30 que serán disponibles para la vinculación de docentes nuevos de carrera mediante concurso público.</t>
  </si>
  <si>
    <t>Jornadas de Inducción y Reinducción UTS</t>
  </si>
  <si>
    <t>Modelo de Gestión de Documentos Electrónicos /  Diagnóstico de Documentos Electrónicos</t>
  </si>
  <si>
    <t>Programa de Preservación Digital</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</si>
  <si>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</si>
  <si>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</si>
  <si>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</si>
  <si>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</si>
  <si>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</si>
  <si>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</si>
  <si>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</si>
  <si>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</si>
  <si>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</si>
  <si>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</si>
  <si>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</si>
  <si>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</si>
  <si>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proyectos formulados en los focos estratégicos</t>
  </si>
  <si>
    <t>Número de estudios realizados para conocer el impacto de la institución.</t>
  </si>
  <si>
    <t>PROGRAMA 5.12.1  CONOCIMIENTO DE LA GESTIÓN INSTITUCIONAL</t>
  </si>
  <si>
    <t>PROGRAMA 5.12.2  SISTEMAS INTEGRADOS DE GESTIÓN</t>
  </si>
  <si>
    <t>PROGRAMA 5.12.3  PLANEACIÓN Y GESTIÓN</t>
  </si>
  <si>
    <t>PROGRAMA 5.12.4  SEGUIMIENTO Y CONTROL</t>
  </si>
  <si>
    <t>LINEA ESTRATÉGICA 5.12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</si>
  <si>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</si>
  <si>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</si>
  <si>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</si>
  <si>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</si>
  <si>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</si>
  <si>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</si>
  <si>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t>Vicerrectoría Administrativa y Financiera
Oficina de Infraestructura. 
Grupo de Recursos Informáticos
Grupo de Recursos Físicos</t>
  </si>
  <si>
    <t>Número de capacitaciones implementadas con relación al total de capacitaciones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</si>
</sst>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 #,##0.00"/>
  </numFmts>
  <fonts count="33">
    <font>
      <sz val="12"/>
      <color theme="1"/>
      <name val="Calibri"/>
      <family val="2"/>
      <scheme val="minor"/>
    </font>
    <font>
      <sz val="11"/>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10"/>
      <name val="Calibri"/>
      <family val="2"/>
      <scheme val="minor"/>
    </font>
    <font>
      <sz val="10"/>
      <color rgb="FFFF0000"/>
      <name val="Calibri"/>
      <family val="2"/>
      <scheme val="minor"/>
    </font>
    <font>
      <b/>
      <sz val="1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sz val="10"/>
      <color rgb="FF000000"/>
      <name val="Calibri"/>
      <family val="2"/>
    </font>
    <font>
      <sz val="10"/>
      <name val="Calibri"/>
      <family val="2"/>
    </font>
    <font>
      <sz val="10"/>
      <color theme="1"/>
      <name val="Calibri"/>
      <family val="2"/>
    </font>
    <font>
      <sz val="8"/>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0"/>
      <name val="Calibri"/>
      <family val="2"/>
      <scheme val="minor"/>
    </font>
    <font>
      <b/>
      <sz val="12"/>
      <color theme="1"/>
      <name val="Calibri"/>
      <family val="2"/>
      <scheme val="minor"/>
    </font>
    <font>
      <b/>
      <sz val="11"/>
      <name val="Calibri"/>
      <family val="2"/>
      <scheme val="minor"/>
    </font>
    <font>
      <b/>
      <sz val="14"/>
      <color theme="0"/>
      <name val="Calibri"/>
      <family val="2"/>
      <scheme val="minor"/>
    </font>
    <font>
      <b/>
      <sz val="10"/>
      <color indexed="81"/>
      <name val="Calibri"/>
      <family val="2"/>
    </font>
    <font>
      <sz val="12"/>
      <color theme="9" tint="0.59999389629810485"/>
      <name val="Calibri"/>
      <family val="2"/>
      <scheme val="minor"/>
    </font>
    <font>
      <sz val="8"/>
      <color theme="0"/>
      <name val="Calibri"/>
      <family val="2"/>
      <scheme val="minor"/>
    </font>
    <font>
      <sz val="10"/>
      <color theme="1"/>
      <name val="Calibri (Cuerpo)"/>
    </font>
  </fonts>
  <fills count="16">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49998474074526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s>
  <cellStyleXfs count="1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69">
    <xf numFmtId="0" fontId="0" fillId="0" borderId="0" xfId="0"/>
    <xf numFmtId="0" fontId="6" fillId="6" borderId="6"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quotePrefix="1" applyFont="1" applyBorder="1" applyAlignment="1">
      <alignment horizontal="center" vertical="center" wrapText="1"/>
    </xf>
    <xf numFmtId="9" fontId="5" fillId="0" borderId="15"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6" xfId="0" quotePrefix="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20" xfId="0" applyFont="1" applyFill="1" applyBorder="1" applyAlignment="1">
      <alignment horizontal="center" vertical="center" wrapText="1"/>
    </xf>
    <xf numFmtId="0" fontId="5" fillId="8" borderId="10"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xf numFmtId="9" fontId="5" fillId="0" borderId="10"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5" fillId="0" borderId="29" xfId="0" applyFont="1" applyBorder="1" applyAlignment="1">
      <alignment horizontal="center" vertical="center" wrapText="1"/>
    </xf>
    <xf numFmtId="9" fontId="5" fillId="0" borderId="16" xfId="0" applyNumberFormat="1" applyFont="1" applyBorder="1" applyAlignment="1">
      <alignment horizontal="center" vertical="center" wrapText="1"/>
    </xf>
    <xf numFmtId="1" fontId="5" fillId="8" borderId="1" xfId="0" applyNumberFormat="1"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5" fillId="8" borderId="20" xfId="0" applyFont="1" applyFill="1" applyBorder="1" applyAlignment="1">
      <alignment horizontal="center" vertical="center" wrapText="1"/>
    </xf>
    <xf numFmtId="0" fontId="14" fillId="0" borderId="0" xfId="0" applyFont="1"/>
    <xf numFmtId="9" fontId="5" fillId="0" borderId="15"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11"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9" fontId="5" fillId="0" borderId="1" xfId="13" applyFont="1" applyFill="1" applyBorder="1" applyAlignment="1">
      <alignment horizontal="center" vertical="center" wrapText="1"/>
    </xf>
    <xf numFmtId="9" fontId="5" fillId="0" borderId="13" xfId="13" applyFont="1" applyFill="1" applyBorder="1" applyAlignment="1">
      <alignment horizontal="center" vertical="center" wrapText="1"/>
    </xf>
    <xf numFmtId="0" fontId="5"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5" fillId="0" borderId="6" xfId="13" applyNumberFormat="1" applyFont="1" applyFill="1" applyBorder="1" applyAlignment="1">
      <alignment horizontal="center" vertical="center" wrapText="1"/>
    </xf>
    <xf numFmtId="3" fontId="5" fillId="0" borderId="20" xfId="13" applyNumberFormat="1" applyFont="1" applyFill="1" applyBorder="1" applyAlignment="1">
      <alignment horizontal="center" vertical="center" wrapText="1"/>
    </xf>
    <xf numFmtId="0" fontId="6" fillId="7" borderId="32" xfId="0" applyFont="1" applyFill="1" applyBorder="1" applyAlignment="1">
      <alignment vertical="center" wrapText="1"/>
    </xf>
    <xf numFmtId="0" fontId="5" fillId="0" borderId="29" xfId="0" applyFont="1" applyFill="1" applyBorder="1" applyAlignment="1">
      <alignment horizontal="center" vertical="center" wrapText="1"/>
    </xf>
    <xf numFmtId="9" fontId="11" fillId="0" borderId="29" xfId="0" applyNumberFormat="1" applyFont="1" applyFill="1" applyBorder="1" applyAlignment="1">
      <alignment horizontal="center" vertical="center" wrapText="1"/>
    </xf>
    <xf numFmtId="9" fontId="5" fillId="0" borderId="29" xfId="13" applyFont="1" applyFill="1" applyBorder="1" applyAlignment="1">
      <alignment horizontal="center" vertical="center" wrapText="1"/>
    </xf>
    <xf numFmtId="9" fontId="5" fillId="0" borderId="30" xfId="13" applyFont="1" applyFill="1" applyBorder="1" applyAlignment="1">
      <alignment horizontal="center" vertical="center" wrapText="1"/>
    </xf>
    <xf numFmtId="0" fontId="11" fillId="0" borderId="15" xfId="0" applyFont="1" applyBorder="1" applyAlignment="1">
      <alignment horizontal="center" vertical="center" wrapText="1"/>
    </xf>
    <xf numFmtId="9" fontId="5" fillId="0" borderId="15" xfId="13"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3"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8" borderId="13"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28" xfId="0" applyBorder="1"/>
    <xf numFmtId="0" fontId="0" fillId="0" borderId="0" xfId="0" applyAlignment="1">
      <alignment horizontal="center" vertical="center"/>
    </xf>
    <xf numFmtId="0" fontId="5" fillId="8" borderId="1" xfId="13"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0" fontId="5" fillId="0" borderId="28" xfId="0" applyFont="1" applyBorder="1" applyAlignment="1">
      <alignment horizontal="center" vertical="center" wrapText="1"/>
    </xf>
    <xf numFmtId="0" fontId="15" fillId="0" borderId="10" xfId="0" applyFont="1" applyFill="1" applyBorder="1" applyAlignment="1">
      <alignment horizontal="center" vertical="center" wrapText="1"/>
    </xf>
    <xf numFmtId="0" fontId="5" fillId="0" borderId="31" xfId="0" applyFont="1" applyBorder="1" applyAlignment="1">
      <alignment horizontal="center" vertical="center" wrapText="1"/>
    </xf>
    <xf numFmtId="0" fontId="11" fillId="8"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3" fontId="18" fillId="0" borderId="15" xfId="0" applyNumberFormat="1" applyFont="1" applyFill="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34" xfId="0" applyNumberFormat="1" applyFont="1" applyBorder="1" applyAlignment="1">
      <alignment horizontal="center" vertical="center" wrapText="1"/>
    </xf>
    <xf numFmtId="0" fontId="19" fillId="10" borderId="1" xfId="0" applyFont="1" applyFill="1" applyBorder="1" applyAlignment="1">
      <alignment horizontal="center" vertical="center" wrapText="1"/>
    </xf>
    <xf numFmtId="0" fontId="0" fillId="0" borderId="0" xfId="0" applyAlignment="1">
      <alignment vertical="center"/>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6" fillId="7"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8" fillId="10" borderId="6" xfId="0" applyFont="1" applyFill="1" applyBorder="1" applyAlignment="1">
      <alignment horizontal="center" vertical="center" wrapText="1"/>
    </xf>
    <xf numFmtId="3" fontId="18" fillId="0" borderId="6"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5" fillId="0" borderId="10" xfId="13" applyFont="1" applyBorder="1" applyAlignment="1">
      <alignment horizontal="center" vertical="center" wrapText="1"/>
    </xf>
    <xf numFmtId="0" fontId="5" fillId="8" borderId="1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20" xfId="0" quotePrefix="1" applyFont="1" applyBorder="1" applyAlignment="1">
      <alignment horizontal="center" vertical="center" wrapText="1"/>
    </xf>
    <xf numFmtId="164" fontId="5" fillId="8" borderId="6" xfId="0" applyNumberFormat="1" applyFont="1" applyFill="1" applyBorder="1" applyAlignment="1">
      <alignment horizontal="center" vertical="center" wrapText="1"/>
    </xf>
    <xf numFmtId="0" fontId="5" fillId="0" borderId="0" xfId="0" applyFont="1" applyFill="1"/>
    <xf numFmtId="0" fontId="5" fillId="8" borderId="6"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20" xfId="0" applyFont="1" applyFill="1" applyBorder="1" applyAlignment="1">
      <alignment horizontal="center" vertical="center" wrapText="1"/>
    </xf>
    <xf numFmtId="165" fontId="5" fillId="0" borderId="17" xfId="0" applyNumberFormat="1" applyFont="1" applyBorder="1" applyAlignment="1">
      <alignment horizontal="center" vertical="center" wrapText="1"/>
    </xf>
    <xf numFmtId="9" fontId="5" fillId="0" borderId="10" xfId="13" applyFont="1" applyBorder="1" applyAlignment="1">
      <alignment horizontal="center" vertical="center"/>
    </xf>
    <xf numFmtId="165" fontId="5" fillId="0" borderId="10" xfId="0" applyNumberFormat="1" applyFont="1" applyBorder="1" applyAlignment="1">
      <alignment horizontal="center" vertical="center"/>
    </xf>
    <xf numFmtId="165" fontId="5" fillId="0" borderId="18" xfId="0" applyNumberFormat="1" applyFont="1" applyBorder="1" applyAlignment="1">
      <alignment horizontal="center" vertical="center" wrapText="1"/>
    </xf>
    <xf numFmtId="9" fontId="5" fillId="0" borderId="1" xfId="13" applyFont="1" applyBorder="1" applyAlignment="1">
      <alignment horizontal="center" vertical="center"/>
    </xf>
    <xf numFmtId="165" fontId="5" fillId="0"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xf>
    <xf numFmtId="165" fontId="5" fillId="0" borderId="18" xfId="0" applyNumberFormat="1" applyFont="1" applyFill="1" applyBorder="1" applyAlignment="1">
      <alignment horizontal="center" vertical="center" wrapText="1"/>
    </xf>
    <xf numFmtId="165" fontId="5" fillId="0" borderId="24" xfId="0" applyNumberFormat="1" applyFont="1" applyFill="1" applyBorder="1" applyAlignment="1">
      <alignment horizontal="center" vertical="center" wrapText="1"/>
    </xf>
    <xf numFmtId="9" fontId="5" fillId="0" borderId="6" xfId="13" applyFont="1" applyBorder="1" applyAlignment="1">
      <alignment horizontal="center" vertical="center"/>
    </xf>
    <xf numFmtId="165" fontId="5" fillId="0" borderId="6" xfId="0" applyNumberFormat="1" applyFont="1" applyBorder="1" applyAlignment="1">
      <alignment horizontal="center" vertical="center"/>
    </xf>
    <xf numFmtId="9" fontId="5" fillId="0" borderId="15" xfId="13" applyFont="1" applyBorder="1" applyAlignment="1">
      <alignment horizontal="center" vertical="center"/>
    </xf>
    <xf numFmtId="165" fontId="5" fillId="0" borderId="15" xfId="0" applyNumberFormat="1" applyFont="1" applyFill="1" applyBorder="1" applyAlignment="1">
      <alignment horizontal="center" vertical="center" wrapText="1"/>
    </xf>
    <xf numFmtId="165" fontId="5" fillId="0" borderId="15" xfId="0" applyNumberFormat="1" applyFont="1" applyBorder="1" applyAlignment="1">
      <alignment horizontal="center" vertical="center"/>
    </xf>
    <xf numFmtId="0" fontId="0" fillId="0" borderId="0" xfId="0" applyAlignment="1">
      <alignment horizontal="center" vertical="center" wrapText="1"/>
    </xf>
    <xf numFmtId="165" fontId="5" fillId="0" borderId="17" xfId="0" applyNumberFormat="1" applyFont="1" applyFill="1" applyBorder="1" applyAlignment="1">
      <alignment horizontal="center" vertical="center" wrapText="1"/>
    </xf>
    <xf numFmtId="9" fontId="5" fillId="0" borderId="37" xfId="0" applyNumberFormat="1" applyFont="1" applyBorder="1" applyAlignment="1">
      <alignment horizontal="center" vertical="center" wrapText="1"/>
    </xf>
    <xf numFmtId="9" fontId="19" fillId="0" borderId="4" xfId="0" applyNumberFormat="1" applyFont="1" applyFill="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6" xfId="13" applyFont="1" applyFill="1" applyBorder="1" applyAlignment="1">
      <alignment horizontal="center" vertical="center"/>
    </xf>
    <xf numFmtId="1" fontId="5" fillId="8" borderId="4" xfId="0" applyNumberFormat="1" applyFont="1" applyFill="1" applyBorder="1" applyAlignment="1">
      <alignment horizontal="center" vertical="center" wrapText="1"/>
    </xf>
    <xf numFmtId="9" fontId="5" fillId="8" borderId="4"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3" fontId="18" fillId="0" borderId="4" xfId="0" applyNumberFormat="1" applyFont="1" applyFill="1" applyBorder="1" applyAlignment="1">
      <alignment horizontal="center" vertical="center" wrapText="1"/>
    </xf>
    <xf numFmtId="3" fontId="18" fillId="0" borderId="38"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5" fontId="5" fillId="0" borderId="24" xfId="0" applyNumberFormat="1" applyFont="1" applyBorder="1" applyAlignment="1">
      <alignment horizontal="center" vertical="center" wrapText="1"/>
    </xf>
    <xf numFmtId="0" fontId="11" fillId="0" borderId="37" xfId="0"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5" fillId="0" borderId="37" xfId="0" applyFont="1" applyBorder="1" applyAlignment="1">
      <alignment horizontal="center" vertical="center" wrapText="1"/>
    </xf>
    <xf numFmtId="3" fontId="18" fillId="0" borderId="2"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xf>
    <xf numFmtId="0" fontId="5" fillId="0" borderId="4" xfId="0" applyFont="1" applyBorder="1" applyAlignment="1">
      <alignment horizontal="center" vertical="center" wrapText="1"/>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38" xfId="0" applyFont="1" applyBorder="1" applyAlignment="1">
      <alignment horizontal="center" vertical="center" wrapText="1"/>
    </xf>
    <xf numFmtId="165" fontId="5" fillId="0" borderId="33" xfId="0" applyNumberFormat="1" applyFont="1" applyBorder="1" applyAlignment="1">
      <alignment horizontal="center" vertical="center" wrapText="1"/>
    </xf>
    <xf numFmtId="9" fontId="5" fillId="0" borderId="28" xfId="13" applyFont="1" applyBorder="1" applyAlignment="1">
      <alignment horizontal="center" vertical="center"/>
    </xf>
    <xf numFmtId="165" fontId="5" fillId="0" borderId="28" xfId="0" applyNumberFormat="1" applyFont="1" applyFill="1" applyBorder="1" applyAlignment="1">
      <alignment horizontal="center" vertical="center" wrapText="1"/>
    </xf>
    <xf numFmtId="165" fontId="5" fillId="0" borderId="28" xfId="0" applyNumberFormat="1" applyFont="1" applyBorder="1" applyAlignment="1">
      <alignment horizontal="center" vertical="center"/>
    </xf>
    <xf numFmtId="165" fontId="5" fillId="0" borderId="19" xfId="0" applyNumberFormat="1" applyFont="1" applyBorder="1" applyAlignment="1">
      <alignment horizontal="center" vertical="center" wrapText="1"/>
    </xf>
    <xf numFmtId="9" fontId="5" fillId="0" borderId="10" xfId="13" applyFont="1" applyFill="1" applyBorder="1" applyAlignment="1">
      <alignment horizontal="center" vertical="center"/>
    </xf>
    <xf numFmtId="165" fontId="5" fillId="0" borderId="10" xfId="0" applyNumberFormat="1" applyFont="1" applyFill="1" applyBorder="1" applyAlignment="1">
      <alignment horizontal="center" vertical="center"/>
    </xf>
    <xf numFmtId="9" fontId="5" fillId="0" borderId="29" xfId="13" applyFont="1" applyBorder="1" applyAlignment="1">
      <alignment horizontal="center" vertical="center"/>
    </xf>
    <xf numFmtId="165" fontId="5" fillId="0" borderId="29" xfId="0" applyNumberFormat="1" applyFont="1" applyFill="1" applyBorder="1" applyAlignment="1">
      <alignment horizontal="center" vertical="center" wrapText="1"/>
    </xf>
    <xf numFmtId="165" fontId="5" fillId="0" borderId="29" xfId="0" applyNumberFormat="1" applyFont="1" applyBorder="1" applyAlignment="1">
      <alignment horizontal="center" vertical="center"/>
    </xf>
    <xf numFmtId="9" fontId="5" fillId="0" borderId="8" xfId="13" applyFont="1" applyBorder="1" applyAlignment="1">
      <alignment horizontal="center" vertical="center"/>
    </xf>
    <xf numFmtId="165" fontId="5" fillId="0" borderId="8" xfId="0" applyNumberFormat="1" applyFont="1" applyBorder="1" applyAlignment="1">
      <alignment horizontal="center" vertical="center"/>
    </xf>
    <xf numFmtId="0" fontId="5" fillId="0" borderId="37" xfId="0" quotePrefix="1" applyFont="1" applyBorder="1" applyAlignment="1">
      <alignment horizontal="center" vertical="center" wrapText="1"/>
    </xf>
    <xf numFmtId="0" fontId="5" fillId="0" borderId="4" xfId="0" quotePrefix="1" applyFont="1" applyBorder="1" applyAlignment="1">
      <alignment horizontal="center" vertical="center" wrapText="1"/>
    </xf>
    <xf numFmtId="164" fontId="5" fillId="8" borderId="2" xfId="0" applyNumberFormat="1"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2" xfId="0" applyNumberFormat="1" applyFont="1" applyFill="1" applyBorder="1" applyAlignment="1">
      <alignment horizontal="center" vertical="center" wrapText="1"/>
    </xf>
    <xf numFmtId="0" fontId="5" fillId="8" borderId="37"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7" xfId="0" applyNumberFormat="1" applyFont="1" applyBorder="1" applyAlignment="1">
      <alignment horizontal="center" vertical="center" wrapText="1"/>
    </xf>
    <xf numFmtId="0" fontId="5" fillId="0" borderId="38" xfId="0" applyFont="1" applyFill="1" applyBorder="1" applyAlignment="1">
      <alignment horizontal="center" vertical="center" wrapText="1"/>
    </xf>
    <xf numFmtId="9" fontId="5" fillId="0" borderId="37"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9" fontId="5" fillId="0" borderId="4" xfId="13" applyFont="1" applyFill="1" applyBorder="1" applyAlignment="1">
      <alignment horizontal="center" vertical="center" wrapText="1"/>
    </xf>
    <xf numFmtId="9" fontId="5" fillId="0" borderId="38" xfId="13" applyFont="1" applyFill="1" applyBorder="1" applyAlignment="1">
      <alignment horizontal="center" vertical="center" wrapText="1"/>
    </xf>
    <xf numFmtId="0" fontId="5" fillId="0" borderId="4" xfId="13"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65" fontId="5" fillId="0" borderId="12" xfId="0" applyNumberFormat="1" applyFont="1" applyBorder="1" applyAlignment="1">
      <alignment horizontal="center" vertical="center" wrapText="1"/>
    </xf>
    <xf numFmtId="9" fontId="5" fillId="0" borderId="7" xfId="13" applyFont="1" applyBorder="1" applyAlignment="1">
      <alignment horizontal="center" vertical="center"/>
    </xf>
    <xf numFmtId="165" fontId="5" fillId="0" borderId="7" xfId="0" applyNumberFormat="1" applyFont="1" applyBorder="1" applyAlignment="1">
      <alignment horizontal="center" vertical="center"/>
    </xf>
    <xf numFmtId="9" fontId="5" fillId="0" borderId="3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5" fontId="5" fillId="0" borderId="13" xfId="0" applyNumberFormat="1" applyFont="1" applyBorder="1" applyAlignment="1">
      <alignment horizontal="center" vertical="center"/>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5" fontId="5" fillId="0" borderId="16" xfId="0" applyNumberFormat="1"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5" fillId="0" borderId="0" xfId="0" applyFont="1" applyAlignment="1">
      <alignment horizontal="left" vertical="center"/>
    </xf>
    <xf numFmtId="0" fontId="25" fillId="2" borderId="1" xfId="0" applyFont="1" applyFill="1" applyBorder="1" applyAlignment="1">
      <alignment horizontal="left" vertical="center"/>
    </xf>
    <xf numFmtId="165" fontId="5" fillId="0" borderId="1" xfId="0" applyNumberFormat="1" applyFont="1" applyBorder="1" applyAlignment="1">
      <alignment horizontal="center" vertical="center"/>
    </xf>
    <xf numFmtId="165" fontId="5" fillId="0" borderId="28" xfId="0" applyNumberFormat="1" applyFont="1" applyBorder="1" applyAlignment="1">
      <alignment horizontal="center" vertical="center"/>
    </xf>
    <xf numFmtId="0" fontId="26" fillId="6" borderId="1" xfId="0" applyFont="1" applyFill="1" applyBorder="1" applyAlignment="1">
      <alignment vertical="center"/>
    </xf>
    <xf numFmtId="165" fontId="5" fillId="0" borderId="1" xfId="0" applyNumberFormat="1" applyFont="1" applyBorder="1" applyAlignment="1">
      <alignment horizontal="center" vertical="center"/>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6" fillId="6" borderId="4" xfId="0" applyFont="1" applyFill="1" applyBorder="1" applyAlignment="1">
      <alignment vertical="center"/>
    </xf>
    <xf numFmtId="165" fontId="5" fillId="0" borderId="18" xfId="0" applyNumberFormat="1" applyFont="1" applyBorder="1" applyAlignment="1">
      <alignment horizontal="left" vertical="center"/>
    </xf>
    <xf numFmtId="165" fontId="5" fillId="0" borderId="1" xfId="0" applyNumberFormat="1" applyFont="1" applyBorder="1" applyAlignment="1">
      <alignment horizontal="left" vertical="center"/>
    </xf>
    <xf numFmtId="165" fontId="5" fillId="0" borderId="18" xfId="0" applyNumberFormat="1" applyFont="1" applyBorder="1" applyAlignment="1">
      <alignment horizontal="center" vertical="center"/>
    </xf>
    <xf numFmtId="165" fontId="23" fillId="3" borderId="19" xfId="0" applyNumberFormat="1" applyFont="1" applyFill="1" applyBorder="1" applyAlignment="1">
      <alignment horizontal="center" vertical="center"/>
    </xf>
    <xf numFmtId="165" fontId="23" fillId="3" borderId="15" xfId="0" applyNumberFormat="1" applyFont="1" applyFill="1" applyBorder="1" applyAlignment="1">
      <alignment horizontal="center" vertical="center"/>
    </xf>
    <xf numFmtId="165" fontId="23" fillId="3" borderId="16" xfId="0" applyNumberFormat="1" applyFont="1" applyFill="1" applyBorder="1" applyAlignment="1">
      <alignment horizontal="center" vertical="center"/>
    </xf>
    <xf numFmtId="0" fontId="5" fillId="0" borderId="18" xfId="0" applyFont="1" applyFill="1" applyBorder="1" applyAlignment="1">
      <alignment vertical="center"/>
    </xf>
    <xf numFmtId="165" fontId="5" fillId="0" borderId="13" xfId="0" applyNumberFormat="1" applyFont="1" applyFill="1" applyBorder="1" applyAlignment="1">
      <alignment horizontal="center" vertical="center"/>
    </xf>
    <xf numFmtId="0" fontId="23" fillId="3" borderId="19" xfId="0" applyFont="1" applyFill="1" applyBorder="1" applyAlignment="1">
      <alignment horizontal="center" vertical="center"/>
    </xf>
    <xf numFmtId="0" fontId="23" fillId="14" borderId="18"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5" fillId="2" borderId="4" xfId="0" applyFont="1" applyFill="1" applyBorder="1" applyAlignment="1">
      <alignment horizontal="left" vertical="center"/>
    </xf>
    <xf numFmtId="0" fontId="5" fillId="0" borderId="1" xfId="0" applyFont="1" applyBorder="1" applyAlignment="1">
      <alignment horizontal="center" vertical="center"/>
    </xf>
    <xf numFmtId="0" fontId="0" fillId="6" borderId="3" xfId="0" applyFill="1" applyBorder="1" applyAlignment="1">
      <alignment vertical="center"/>
    </xf>
    <xf numFmtId="0" fontId="0" fillId="6" borderId="42" xfId="0" applyFill="1" applyBorder="1" applyAlignment="1">
      <alignment vertical="center"/>
    </xf>
    <xf numFmtId="0" fontId="0" fillId="6" borderId="42" xfId="0" applyFill="1" applyBorder="1" applyAlignment="1">
      <alignment horizontal="left" vertical="center"/>
    </xf>
    <xf numFmtId="165" fontId="21" fillId="0" borderId="0" xfId="0" applyNumberFormat="1" applyFont="1"/>
    <xf numFmtId="165" fontId="5" fillId="0" borderId="15"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0" fillId="0" borderId="0" xfId="13" applyNumberFormat="1" applyFont="1"/>
    <xf numFmtId="165" fontId="0" fillId="0" borderId="0" xfId="0" applyNumberFormat="1"/>
    <xf numFmtId="165" fontId="5" fillId="0" borderId="31" xfId="0" applyNumberFormat="1" applyFont="1" applyFill="1" applyBorder="1" applyAlignment="1">
      <alignment horizontal="center" vertical="center" wrapText="1"/>
    </xf>
    <xf numFmtId="0" fontId="6" fillId="13" borderId="15" xfId="0" applyFont="1" applyFill="1" applyBorder="1" applyAlignment="1">
      <alignment horizontal="center" vertical="center" wrapText="1"/>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9"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37" xfId="0" applyNumberFormat="1" applyFont="1" applyBorder="1" applyAlignment="1">
      <alignment horizontal="center" vertical="center"/>
    </xf>
    <xf numFmtId="165" fontId="5" fillId="0" borderId="46" xfId="0" applyNumberFormat="1" applyFont="1" applyBorder="1" applyAlignment="1">
      <alignment horizontal="center" vertical="center"/>
    </xf>
    <xf numFmtId="165" fontId="5" fillId="0" borderId="37"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9" xfId="0" applyFont="1" applyBorder="1" applyAlignment="1">
      <alignment horizontal="center" vertical="center" wrapText="1"/>
    </xf>
    <xf numFmtId="165" fontId="5" fillId="0" borderId="38"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41" xfId="0" applyNumberFormat="1" applyFont="1" applyBorder="1" applyAlignment="1">
      <alignment horizontal="center" vertical="center"/>
    </xf>
    <xf numFmtId="165" fontId="5" fillId="0" borderId="38" xfId="0" applyNumberFormat="1" applyFont="1" applyBorder="1" applyAlignment="1">
      <alignment horizontal="center" vertical="center"/>
    </xf>
    <xf numFmtId="0" fontId="0" fillId="0" borderId="0" xfId="0" applyFill="1" applyAlignment="1">
      <alignment vertical="center"/>
    </xf>
    <xf numFmtId="165" fontId="5" fillId="0" borderId="54" xfId="0" applyNumberFormat="1" applyFont="1" applyBorder="1" applyAlignment="1">
      <alignment horizontal="center" vertical="center"/>
    </xf>
    <xf numFmtId="0" fontId="5" fillId="0" borderId="55" xfId="0" applyFont="1" applyBorder="1" applyAlignment="1">
      <alignment horizontal="center" vertical="center" wrapText="1"/>
    </xf>
    <xf numFmtId="0" fontId="5" fillId="0" borderId="43" xfId="0" applyFont="1" applyBorder="1" applyAlignment="1">
      <alignment horizontal="center" vertical="center" wrapText="1"/>
    </xf>
    <xf numFmtId="165" fontId="5" fillId="0" borderId="37" xfId="0" applyNumberFormat="1" applyFont="1" applyBorder="1" applyAlignment="1">
      <alignment horizontal="center" vertical="center"/>
    </xf>
    <xf numFmtId="0" fontId="5" fillId="0" borderId="49" xfId="0" applyFont="1" applyBorder="1" applyAlignment="1">
      <alignment horizontal="center" vertical="center" wrapText="1"/>
    </xf>
    <xf numFmtId="165" fontId="5" fillId="0" borderId="38"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165" fontId="5" fillId="0" borderId="28"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0" fillId="6" borderId="3" xfId="0" applyFill="1" applyBorder="1" applyAlignment="1">
      <alignment horizontal="center" vertical="center"/>
    </xf>
    <xf numFmtId="165" fontId="5" fillId="0" borderId="15" xfId="0" applyNumberFormat="1" applyFont="1" applyBorder="1" applyAlignment="1">
      <alignment horizontal="center" vertical="center"/>
    </xf>
    <xf numFmtId="0" fontId="21" fillId="0" borderId="0" xfId="0" applyFont="1" applyFill="1" applyAlignment="1">
      <alignment horizontal="center" vertical="center" wrapText="1"/>
    </xf>
    <xf numFmtId="165" fontId="5" fillId="8" borderId="18"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xf>
    <xf numFmtId="165" fontId="5" fillId="0" borderId="5" xfId="0" applyNumberFormat="1" applyFont="1" applyBorder="1" applyAlignment="1">
      <alignment horizontal="left" vertical="center"/>
    </xf>
    <xf numFmtId="0" fontId="23" fillId="14" borderId="4" xfId="0" applyFont="1" applyFill="1" applyBorder="1" applyAlignment="1">
      <alignment horizontal="center" vertical="center" wrapText="1"/>
    </xf>
    <xf numFmtId="165" fontId="30" fillId="6" borderId="21" xfId="0" applyNumberFormat="1" applyFont="1" applyFill="1" applyBorder="1" applyAlignment="1">
      <alignment horizontal="center" vertical="center"/>
    </xf>
    <xf numFmtId="165" fontId="30" fillId="6" borderId="3" xfId="0" applyNumberFormat="1" applyFont="1" applyFill="1" applyBorder="1" applyAlignment="1">
      <alignment horizontal="center" vertical="center"/>
    </xf>
    <xf numFmtId="0" fontId="23" fillId="13" borderId="11" xfId="0" applyFont="1" applyFill="1" applyBorder="1" applyAlignment="1">
      <alignment horizontal="center" vertical="center" wrapText="1"/>
    </xf>
    <xf numFmtId="0" fontId="25" fillId="11" borderId="2" xfId="0" applyFont="1" applyFill="1" applyBorder="1" applyAlignment="1">
      <alignment horizontal="center" vertical="center"/>
    </xf>
    <xf numFmtId="0" fontId="0" fillId="6" borderId="42" xfId="0" applyFill="1" applyBorder="1" applyAlignment="1">
      <alignment horizontal="center" vertical="center"/>
    </xf>
    <xf numFmtId="165" fontId="5" fillId="0" borderId="33" xfId="0" applyNumberFormat="1" applyFont="1" applyBorder="1" applyAlignment="1">
      <alignment horizontal="center" vertical="center"/>
    </xf>
    <xf numFmtId="165" fontId="5" fillId="0" borderId="26" xfId="0" applyNumberFormat="1" applyFont="1" applyBorder="1" applyAlignment="1">
      <alignment horizontal="center" vertical="center"/>
    </xf>
    <xf numFmtId="165" fontId="5" fillId="0" borderId="19" xfId="0" applyNumberFormat="1" applyFont="1" applyBorder="1" applyAlignment="1">
      <alignment horizontal="center" vertical="center"/>
    </xf>
    <xf numFmtId="165" fontId="5" fillId="0" borderId="57" xfId="0" applyNumberFormat="1" applyFont="1" applyBorder="1" applyAlignment="1">
      <alignment horizontal="center" vertical="center"/>
    </xf>
    <xf numFmtId="165" fontId="5" fillId="0" borderId="6" xfId="0" applyNumberFormat="1" applyFont="1" applyBorder="1" applyAlignment="1">
      <alignment horizontal="center" vertical="center"/>
    </xf>
    <xf numFmtId="165" fontId="5" fillId="0" borderId="28"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7" xfId="0" applyFont="1" applyBorder="1" applyAlignment="1">
      <alignment horizontal="center" vertical="center" wrapText="1"/>
    </xf>
    <xf numFmtId="165" fontId="5" fillId="0" borderId="32" xfId="0" applyNumberFormat="1" applyFont="1" applyBorder="1" applyAlignment="1">
      <alignment horizontal="center" vertical="center" wrapText="1"/>
    </xf>
    <xf numFmtId="165" fontId="5" fillId="0" borderId="9" xfId="0" applyNumberFormat="1" applyFont="1" applyBorder="1" applyAlignment="1">
      <alignment horizontal="center" vertical="center" wrapText="1"/>
    </xf>
    <xf numFmtId="165" fontId="5" fillId="0" borderId="10"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165" fontId="5" fillId="0" borderId="33" xfId="0" applyNumberFormat="1" applyFont="1" applyFill="1" applyBorder="1" applyAlignment="1">
      <alignment horizontal="center" vertical="center" wrapText="1"/>
    </xf>
    <xf numFmtId="165" fontId="5" fillId="0" borderId="11" xfId="0" applyNumberFormat="1" applyFont="1" applyBorder="1" applyAlignment="1">
      <alignment horizontal="center" vertical="center"/>
    </xf>
    <xf numFmtId="165" fontId="5" fillId="0" borderId="19" xfId="0" applyNumberFormat="1" applyFont="1" applyFill="1" applyBorder="1" applyAlignment="1">
      <alignment horizontal="center" vertical="center" wrapText="1"/>
    </xf>
    <xf numFmtId="0" fontId="5" fillId="0" borderId="42" xfId="0" applyFont="1" applyBorder="1" applyAlignment="1">
      <alignment horizontal="center" vertical="center" wrapText="1"/>
    </xf>
    <xf numFmtId="165" fontId="5" fillId="0" borderId="40" xfId="0" applyNumberFormat="1" applyFont="1" applyBorder="1" applyAlignment="1">
      <alignment horizontal="center" vertical="center"/>
    </xf>
    <xf numFmtId="0" fontId="5" fillId="8" borderId="0" xfId="0" applyFont="1" applyFill="1"/>
    <xf numFmtId="9" fontId="5" fillId="8" borderId="10" xfId="13" applyFont="1" applyFill="1" applyBorder="1" applyAlignment="1">
      <alignment horizontal="center" vertical="center" wrapText="1"/>
    </xf>
    <xf numFmtId="9" fontId="5" fillId="8" borderId="37" xfId="13" applyFont="1" applyFill="1" applyBorder="1" applyAlignment="1">
      <alignment horizontal="center" vertical="center" wrapText="1"/>
    </xf>
    <xf numFmtId="2" fontId="31" fillId="0" borderId="0" xfId="0" applyNumberFormat="1" applyFont="1" applyAlignment="1">
      <alignment horizontal="center"/>
    </xf>
    <xf numFmtId="2" fontId="31" fillId="0" borderId="0" xfId="0" applyNumberFormat="1" applyFont="1" applyFill="1" applyAlignment="1">
      <alignment horizontal="center"/>
    </xf>
    <xf numFmtId="0" fontId="0" fillId="0" borderId="0" xfId="0" applyFill="1" applyAlignment="1"/>
    <xf numFmtId="165"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5" fillId="8" borderId="1"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0" xfId="0" applyFont="1" applyBorder="1" applyAlignment="1">
      <alignment horizontal="center" vertical="center" wrapText="1"/>
    </xf>
    <xf numFmtId="9" fontId="5" fillId="0" borderId="60" xfId="0" applyNumberFormat="1" applyFont="1" applyBorder="1" applyAlignment="1">
      <alignment horizontal="center" vertical="center" wrapText="1"/>
    </xf>
    <xf numFmtId="9" fontId="5" fillId="0" borderId="61" xfId="0" applyNumberFormat="1" applyFont="1" applyBorder="1" applyAlignment="1">
      <alignment horizontal="center" vertical="center" wrapText="1"/>
    </xf>
    <xf numFmtId="0" fontId="11" fillId="8"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0" borderId="6"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8"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8" borderId="6"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8" borderId="1" xfId="0" applyFont="1" applyFill="1" applyBorder="1" applyAlignment="1">
      <alignment horizontal="justify" vertical="center" wrapText="1"/>
    </xf>
    <xf numFmtId="0" fontId="18" fillId="8" borderId="15" xfId="0" applyFont="1" applyFill="1" applyBorder="1" applyAlignment="1">
      <alignment horizontal="justify" vertical="center" wrapText="1"/>
    </xf>
    <xf numFmtId="0" fontId="5" fillId="0" borderId="10"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9" xfId="0" applyFont="1" applyBorder="1" applyAlignment="1">
      <alignment horizontal="justify" vertical="center" wrapText="1"/>
    </xf>
    <xf numFmtId="0" fontId="11" fillId="0" borderId="6"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15" fillId="0" borderId="10"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6" xfId="0" applyFont="1" applyBorder="1" applyAlignment="1">
      <alignment horizontal="justify" vertical="center" wrapText="1"/>
    </xf>
    <xf numFmtId="0" fontId="11" fillId="9" borderId="1" xfId="0" applyFont="1" applyFill="1" applyBorder="1" applyAlignment="1">
      <alignment horizontal="justify" vertical="center" wrapText="1"/>
    </xf>
    <xf numFmtId="0" fontId="5" fillId="0" borderId="28" xfId="0" applyFont="1" applyBorder="1" applyAlignment="1">
      <alignment horizontal="justify" vertical="center" wrapText="1"/>
    </xf>
    <xf numFmtId="0" fontId="5" fillId="8" borderId="15"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24" fillId="3" borderId="25" xfId="0" applyFont="1" applyFill="1" applyBorder="1" applyAlignment="1">
      <alignment horizontal="center" vertical="center"/>
    </xf>
    <xf numFmtId="0" fontId="24" fillId="3" borderId="26" xfId="0" applyFont="1" applyFill="1" applyBorder="1" applyAlignment="1">
      <alignment horizontal="center" vertical="center"/>
    </xf>
    <xf numFmtId="165" fontId="5" fillId="2" borderId="18"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28" fillId="15" borderId="17" xfId="0" applyFont="1" applyFill="1" applyBorder="1" applyAlignment="1">
      <alignment horizontal="center" vertical="center"/>
    </xf>
    <xf numFmtId="0" fontId="28" fillId="15" borderId="10" xfId="0" applyFont="1" applyFill="1" applyBorder="1" applyAlignment="1">
      <alignment horizontal="center" vertical="center"/>
    </xf>
    <xf numFmtId="0" fontId="28" fillId="15" borderId="37" xfId="0" applyFont="1" applyFill="1" applyBorder="1" applyAlignment="1">
      <alignment horizontal="center" vertical="center"/>
    </xf>
    <xf numFmtId="0" fontId="28" fillId="15" borderId="11" xfId="0" applyFont="1"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22" fillId="2" borderId="18" xfId="0" applyFont="1" applyFill="1" applyBorder="1" applyAlignment="1">
      <alignment horizontal="left" vertical="center"/>
    </xf>
    <xf numFmtId="0" fontId="22" fillId="2" borderId="13"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165" fontId="5" fillId="0" borderId="1"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0" fillId="2" borderId="5" xfId="0" applyFill="1" applyBorder="1" applyAlignment="1">
      <alignment horizontal="center" vertical="center"/>
    </xf>
    <xf numFmtId="0" fontId="28" fillId="15" borderId="56" xfId="0" applyFont="1" applyFill="1" applyBorder="1" applyAlignment="1">
      <alignment horizontal="center" vertical="center"/>
    </xf>
    <xf numFmtId="165" fontId="5" fillId="0" borderId="15" xfId="0" applyNumberFormat="1" applyFont="1" applyBorder="1" applyAlignment="1">
      <alignment horizontal="center" vertical="center"/>
    </xf>
    <xf numFmtId="165" fontId="5" fillId="0" borderId="28" xfId="0" applyNumberFormat="1" applyFont="1" applyBorder="1" applyAlignment="1">
      <alignment horizontal="center" vertical="center"/>
    </xf>
    <xf numFmtId="165" fontId="5" fillId="3" borderId="18" xfId="0"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26" fillId="6" borderId="1" xfId="0" applyFont="1" applyFill="1" applyBorder="1" applyAlignment="1">
      <alignment horizontal="left" vertical="center"/>
    </xf>
    <xf numFmtId="0" fontId="26" fillId="6" borderId="4" xfId="0" applyFont="1" applyFill="1" applyBorder="1" applyAlignment="1">
      <alignment horizontal="left" vertical="center"/>
    </xf>
    <xf numFmtId="0" fontId="0" fillId="0" borderId="1" xfId="0" applyBorder="1" applyAlignment="1">
      <alignment horizontal="center" vertical="center"/>
    </xf>
    <xf numFmtId="0" fontId="25" fillId="2" borderId="1" xfId="0" applyFont="1" applyFill="1" applyBorder="1" applyAlignment="1">
      <alignment horizontal="left" vertical="center"/>
    </xf>
    <xf numFmtId="0" fontId="25" fillId="2" borderId="4" xfId="0" applyFont="1" applyFill="1" applyBorder="1" applyAlignment="1">
      <alignment horizontal="left" vertical="center"/>
    </xf>
    <xf numFmtId="165" fontId="1" fillId="0" borderId="4" xfId="0" applyNumberFormat="1" applyFont="1" applyFill="1" applyBorder="1" applyAlignment="1">
      <alignment horizontal="center" vertical="center"/>
    </xf>
    <xf numFmtId="0" fontId="24" fillId="3" borderId="4"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28" xfId="0" applyFont="1" applyFill="1" applyBorder="1" applyAlignment="1">
      <alignment horizontal="center" vertical="center"/>
    </xf>
    <xf numFmtId="165" fontId="1" fillId="0" borderId="2" xfId="0" applyNumberFormat="1" applyFont="1" applyFill="1" applyBorder="1" applyAlignment="1">
      <alignment horizontal="center" vertical="center"/>
    </xf>
    <xf numFmtId="165" fontId="1" fillId="0" borderId="41" xfId="0" applyNumberFormat="1" applyFont="1" applyFill="1" applyBorder="1" applyAlignment="1">
      <alignment horizontal="center" vertical="center"/>
    </xf>
    <xf numFmtId="165" fontId="1" fillId="0" borderId="39" xfId="0" applyNumberFormat="1" applyFont="1" applyFill="1" applyBorder="1" applyAlignment="1">
      <alignment horizontal="center" vertical="center"/>
    </xf>
    <xf numFmtId="165" fontId="5" fillId="0" borderId="6" xfId="0" applyNumberFormat="1" applyFont="1" applyBorder="1" applyAlignment="1">
      <alignment horizontal="center" vertical="center"/>
    </xf>
    <xf numFmtId="165" fontId="5" fillId="0" borderId="7"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41" xfId="0" applyNumberFormat="1" applyFont="1" applyBorder="1" applyAlignment="1">
      <alignment horizontal="center" vertical="center"/>
    </xf>
    <xf numFmtId="165" fontId="5" fillId="0" borderId="39" xfId="0" applyNumberFormat="1" applyFont="1" applyBorder="1" applyAlignment="1">
      <alignment horizontal="center" vertical="center"/>
    </xf>
    <xf numFmtId="0" fontId="23" fillId="3" borderId="4" xfId="0" applyFont="1" applyFill="1" applyBorder="1" applyAlignment="1">
      <alignment horizontal="left" vertical="center"/>
    </xf>
    <xf numFmtId="0" fontId="23" fillId="3" borderId="3" xfId="0" applyFont="1" applyFill="1" applyBorder="1" applyAlignment="1">
      <alignment horizontal="left" vertical="center"/>
    </xf>
    <xf numFmtId="0" fontId="23" fillId="3" borderId="5" xfId="0" applyFont="1" applyFill="1" applyBorder="1" applyAlignment="1">
      <alignment horizontal="left" vertical="center"/>
    </xf>
    <xf numFmtId="165" fontId="5" fillId="0" borderId="2" xfId="0" applyNumberFormat="1" applyFont="1" applyFill="1" applyBorder="1" applyAlignment="1">
      <alignment horizontal="center" vertical="center"/>
    </xf>
    <xf numFmtId="165" fontId="5" fillId="0" borderId="41" xfId="0" applyNumberFormat="1" applyFont="1" applyFill="1" applyBorder="1" applyAlignment="1">
      <alignment horizontal="center" vertical="center"/>
    </xf>
    <xf numFmtId="165" fontId="5" fillId="0" borderId="39" xfId="0" applyNumberFormat="1" applyFont="1" applyFill="1" applyBorder="1" applyAlignment="1">
      <alignment horizontal="center" vertical="center"/>
    </xf>
    <xf numFmtId="165" fontId="5" fillId="0" borderId="4" xfId="0" applyNumberFormat="1" applyFont="1" applyBorder="1" applyAlignment="1">
      <alignment horizontal="center" vertical="center"/>
    </xf>
    <xf numFmtId="0" fontId="26" fillId="6" borderId="3" xfId="0" applyFont="1" applyFill="1" applyBorder="1" applyAlignment="1">
      <alignment horizontal="left" vertical="center"/>
    </xf>
    <xf numFmtId="165" fontId="5" fillId="0" borderId="20" xfId="0" applyNumberFormat="1" applyFont="1" applyBorder="1" applyAlignment="1">
      <alignment horizontal="center" vertical="center"/>
    </xf>
    <xf numFmtId="0" fontId="5" fillId="0" borderId="35" xfId="0" applyFont="1" applyBorder="1" applyAlignment="1">
      <alignment horizontal="center" vertical="center"/>
    </xf>
    <xf numFmtId="0" fontId="5" fillId="0" borderId="40" xfId="0" applyFont="1" applyBorder="1" applyAlignment="1">
      <alignment horizontal="center" vertical="center"/>
    </xf>
    <xf numFmtId="0" fontId="0" fillId="2" borderId="21" xfId="0" applyFill="1" applyBorder="1" applyAlignment="1">
      <alignment horizontal="center" vertical="center"/>
    </xf>
    <xf numFmtId="0" fontId="0" fillId="2" borderId="3" xfId="0" applyFill="1" applyBorder="1" applyAlignment="1">
      <alignment horizontal="center" vertical="center"/>
    </xf>
    <xf numFmtId="0" fontId="0" fillId="2" borderId="42" xfId="0" applyFill="1" applyBorder="1" applyAlignment="1">
      <alignment horizontal="center" vertical="center"/>
    </xf>
    <xf numFmtId="165" fontId="5" fillId="3" borderId="21"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0" fontId="5" fillId="0" borderId="36" xfId="0" applyFont="1" applyBorder="1" applyAlignment="1">
      <alignment horizontal="center" vertical="center"/>
    </xf>
    <xf numFmtId="0" fontId="23" fillId="3" borderId="4"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5" xfId="0" applyFont="1" applyFill="1" applyBorder="1" applyAlignment="1">
      <alignment horizontal="left" vertical="center" wrapText="1"/>
    </xf>
    <xf numFmtId="165" fontId="5" fillId="0" borderId="46" xfId="0" applyNumberFormat="1" applyFont="1" applyBorder="1" applyAlignment="1">
      <alignment horizontal="center" vertical="center"/>
    </xf>
    <xf numFmtId="165" fontId="5" fillId="0" borderId="45" xfId="0" applyNumberFormat="1" applyFont="1" applyBorder="1" applyAlignment="1">
      <alignment horizontal="center" vertical="center"/>
    </xf>
    <xf numFmtId="0" fontId="6" fillId="7" borderId="17" xfId="0" applyFont="1" applyFill="1" applyBorder="1" applyAlignment="1">
      <alignment vertical="center" wrapText="1"/>
    </xf>
    <xf numFmtId="0" fontId="6" fillId="7" borderId="24" xfId="0" applyFont="1" applyFill="1" applyBorder="1" applyAlignment="1">
      <alignment vertical="center" wrapText="1"/>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2" borderId="0" xfId="0" applyFont="1" applyFill="1" applyAlignment="1">
      <alignment horizontal="center"/>
    </xf>
    <xf numFmtId="0" fontId="6" fillId="7" borderId="18" xfId="0" applyFont="1" applyFill="1" applyBorder="1" applyAlignment="1">
      <alignment vertical="center" wrapText="1"/>
    </xf>
    <xf numFmtId="0" fontId="12" fillId="8" borderId="10"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6" fillId="7" borderId="19" xfId="0" applyFont="1" applyFill="1" applyBorder="1" applyAlignment="1">
      <alignment vertical="center" wrapText="1"/>
    </xf>
    <xf numFmtId="0" fontId="5" fillId="8" borderId="15" xfId="0" applyFont="1" applyFill="1" applyBorder="1" applyAlignment="1">
      <alignment horizontal="justify" vertical="center" wrapText="1"/>
    </xf>
    <xf numFmtId="0" fontId="5" fillId="8" borderId="15"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3" fillId="2" borderId="0" xfId="0" applyFont="1" applyFill="1" applyAlignment="1">
      <alignment horizontal="center" vertical="center"/>
    </xf>
    <xf numFmtId="0" fontId="13" fillId="7" borderId="17" xfId="0" applyFont="1" applyFill="1" applyBorder="1" applyAlignment="1">
      <alignment vertical="center" wrapText="1"/>
    </xf>
    <xf numFmtId="0" fontId="13" fillId="7" borderId="18" xfId="0" applyFont="1" applyFill="1" applyBorder="1" applyAlignment="1">
      <alignment vertical="center" wrapText="1"/>
    </xf>
    <xf numFmtId="0" fontId="13" fillId="7" borderId="24"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8" borderId="10" xfId="0" applyFont="1" applyFill="1" applyBorder="1" applyAlignment="1">
      <alignment horizontal="justify" vertical="center" wrapText="1"/>
    </xf>
    <xf numFmtId="0" fontId="11" fillId="8" borderId="1" xfId="0" applyFont="1" applyFill="1" applyBorder="1" applyAlignment="1">
      <alignment horizontal="justify" vertical="center" wrapText="1"/>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6" fillId="14" borderId="1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4" fillId="11" borderId="17" xfId="0" applyFont="1" applyFill="1" applyBorder="1" applyAlignment="1">
      <alignment horizontal="center" vertical="center" wrapText="1"/>
    </xf>
    <xf numFmtId="0" fontId="4" fillId="11" borderId="1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6" xfId="0" applyFont="1" applyFill="1" applyBorder="1" applyAlignment="1">
      <alignment horizontal="center" vertical="center" wrapText="1"/>
    </xf>
    <xf numFmtId="165" fontId="5" fillId="0" borderId="37" xfId="0" applyNumberFormat="1"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165" fontId="5" fillId="0" borderId="38" xfId="0" applyNumberFormat="1" applyFont="1" applyBorder="1" applyAlignment="1">
      <alignment horizontal="center" vertical="center"/>
    </xf>
    <xf numFmtId="0" fontId="4" fillId="11" borderId="2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4" fillId="11" borderId="53"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5" fillId="0" borderId="10"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pplyAlignment="1">
      <alignment horizontal="center" vertical="center" wrapText="1"/>
    </xf>
    <xf numFmtId="0" fontId="6" fillId="14" borderId="43" xfId="0" applyFont="1" applyFill="1" applyBorder="1" applyAlignment="1">
      <alignment horizontal="center" vertical="center" wrapText="1"/>
    </xf>
    <xf numFmtId="0" fontId="6" fillId="14"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6" fillId="7" borderId="17"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6" fillId="7" borderId="19" xfId="0" applyFont="1" applyFill="1" applyBorder="1" applyAlignment="1">
      <alignment horizontal="left" vertical="center" wrapText="1"/>
    </xf>
    <xf numFmtId="0" fontId="5" fillId="0" borderId="28" xfId="0" applyFont="1" applyBorder="1" applyAlignment="1">
      <alignment horizontal="center" vertical="center" wrapText="1"/>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0" fillId="2" borderId="0" xfId="0" applyFill="1" applyAlignment="1">
      <alignment horizontal="center"/>
    </xf>
    <xf numFmtId="0" fontId="5" fillId="0" borderId="3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6" fillId="7" borderId="23"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7" borderId="22" xfId="0" applyFont="1" applyFill="1" applyBorder="1" applyAlignment="1">
      <alignment horizontal="left" vertical="center" wrapText="1"/>
    </xf>
    <xf numFmtId="0" fontId="4" fillId="11" borderId="23"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5" fillId="0" borderId="6" xfId="0" applyFont="1" applyFill="1" applyBorder="1" applyAlignment="1">
      <alignment horizontal="center" vertical="center" wrapText="1"/>
    </xf>
    <xf numFmtId="165" fontId="5" fillId="0" borderId="11" xfId="0" applyNumberFormat="1" applyFont="1" applyBorder="1" applyAlignment="1">
      <alignment horizontal="center" vertical="center"/>
    </xf>
    <xf numFmtId="0" fontId="5" fillId="0" borderId="15" xfId="0" applyFont="1" applyFill="1" applyBorder="1" applyAlignment="1">
      <alignment horizontal="justify" vertical="center" wrapText="1"/>
    </xf>
    <xf numFmtId="0" fontId="5" fillId="0" borderId="1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8" xfId="0" applyFont="1" applyFill="1" applyBorder="1" applyAlignment="1">
      <alignment horizontal="center" vertical="center" wrapText="1"/>
    </xf>
    <xf numFmtId="165" fontId="5" fillId="0" borderId="40" xfId="0" applyNumberFormat="1" applyFont="1" applyBorder="1" applyAlignment="1">
      <alignment horizontal="center" vertical="center"/>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4"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5" fillId="8" borderId="28" xfId="0" applyFont="1" applyFill="1" applyBorder="1" applyAlignment="1">
      <alignment horizontal="center" vertical="center" wrapText="1"/>
    </xf>
    <xf numFmtId="0" fontId="5" fillId="8" borderId="6" xfId="0" applyFont="1" applyFill="1" applyBorder="1" applyAlignment="1">
      <alignment horizontal="justify"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7" borderId="9"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33" xfId="0" applyFont="1" applyFill="1" applyBorder="1" applyAlignment="1">
      <alignment horizontal="left" vertical="center" wrapText="1"/>
    </xf>
  </cellXfs>
  <cellStyles count="16">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xfId="14"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Hipervínculo visitado" xfId="15"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zoomScale="80" zoomScaleNormal="80" zoomScalePageLayoutView="80" workbookViewId="0">
      <selection sqref="A1:A2"/>
    </sheetView>
  </sheetViews>
  <sheetFormatPr baseColWidth="10" defaultColWidth="10.875" defaultRowHeight="15.75"/>
  <cols>
    <col min="1" max="1" width="71.125" style="220" customWidth="1"/>
    <col min="2" max="2" width="26.625" style="220" customWidth="1"/>
    <col min="3" max="3" width="21.375" style="220" customWidth="1"/>
    <col min="4" max="4" width="22.125" style="220" customWidth="1"/>
    <col min="5" max="7" width="25.5" style="220" customWidth="1"/>
    <col min="8" max="8" width="20.375" style="220" customWidth="1"/>
    <col min="9" max="15" width="25.5" style="220" customWidth="1"/>
    <col min="16" max="16384" width="10.875" style="220"/>
  </cols>
  <sheetData>
    <row r="1" spans="1:18" ht="25.5" customHeight="1" thickBot="1">
      <c r="A1" s="374" t="s">
        <v>577</v>
      </c>
      <c r="B1" s="294" t="s">
        <v>633</v>
      </c>
      <c r="C1" s="380" t="s">
        <v>634</v>
      </c>
      <c r="D1" s="381"/>
      <c r="E1" s="381"/>
      <c r="F1" s="381"/>
      <c r="G1" s="381"/>
      <c r="H1" s="381"/>
      <c r="I1" s="381"/>
      <c r="J1" s="381"/>
      <c r="K1" s="381"/>
      <c r="L1" s="381"/>
      <c r="M1" s="382"/>
      <c r="N1" s="382"/>
      <c r="O1" s="383"/>
      <c r="R1"/>
    </row>
    <row r="2" spans="1:18" ht="49.5" customHeight="1">
      <c r="A2" s="375"/>
      <c r="B2" s="293" t="s">
        <v>667</v>
      </c>
      <c r="C2" s="240" t="s">
        <v>671</v>
      </c>
      <c r="D2" s="241" t="s">
        <v>664</v>
      </c>
      <c r="E2" s="241" t="s">
        <v>663</v>
      </c>
      <c r="F2" s="241" t="s">
        <v>682</v>
      </c>
      <c r="G2" s="241" t="s">
        <v>675</v>
      </c>
      <c r="H2" s="241" t="s">
        <v>662</v>
      </c>
      <c r="I2" s="241" t="s">
        <v>661</v>
      </c>
      <c r="J2" s="241" t="s">
        <v>660</v>
      </c>
      <c r="K2" s="241" t="s">
        <v>659</v>
      </c>
      <c r="L2" s="241" t="s">
        <v>658</v>
      </c>
      <c r="M2" s="290" t="s">
        <v>657</v>
      </c>
      <c r="N2" s="290" t="s">
        <v>673</v>
      </c>
      <c r="O2" s="242" t="s">
        <v>636</v>
      </c>
      <c r="R2"/>
    </row>
    <row r="3" spans="1:18" s="221" customFormat="1" ht="22.5" customHeight="1">
      <c r="A3" s="388" t="s">
        <v>578</v>
      </c>
      <c r="B3" s="389"/>
      <c r="C3" s="384"/>
      <c r="D3" s="385"/>
      <c r="E3" s="385"/>
      <c r="F3" s="385"/>
      <c r="G3" s="385"/>
      <c r="H3" s="385"/>
      <c r="I3" s="385"/>
      <c r="J3" s="385"/>
      <c r="K3" s="385"/>
      <c r="L3" s="385"/>
      <c r="M3" s="386"/>
      <c r="N3" s="386"/>
      <c r="O3" s="387"/>
      <c r="R3"/>
    </row>
    <row r="4" spans="1:18" s="222" customFormat="1" ht="26.25" customHeight="1">
      <c r="A4" s="237" t="s">
        <v>579</v>
      </c>
      <c r="B4" s="238">
        <f>'COSTOS DETALLADOS'!E6</f>
        <v>4541550227.3997841</v>
      </c>
      <c r="C4" s="233">
        <f>'COSTOS DETALLADOS'!F5</f>
        <v>1875860389.6550922</v>
      </c>
      <c r="D4" s="283">
        <f>'COSTOS DETALLADOS'!G5</f>
        <v>0</v>
      </c>
      <c r="E4" s="328">
        <f>'COSTOS DETALLADOS'!H5</f>
        <v>394914724.04480004</v>
      </c>
      <c r="F4" s="328">
        <f>'COSTOS DETALLADOS'!I5</f>
        <v>0</v>
      </c>
      <c r="G4" s="328">
        <f>'COSTOS DETALLADOS'!J5</f>
        <v>394914724.04480004</v>
      </c>
      <c r="H4" s="328">
        <f>'COSTOS DETALLADOS'!K5</f>
        <v>0</v>
      </c>
      <c r="I4" s="328">
        <f>'COSTOS DETALLADOS'!L5</f>
        <v>0</v>
      </c>
      <c r="J4" s="328">
        <f>'COSTOS DETALLADOS'!M5</f>
        <v>1875860389.6550922</v>
      </c>
      <c r="K4" s="328">
        <f>'COSTOS DETALLADOS'!N5</f>
        <v>0</v>
      </c>
      <c r="L4" s="328">
        <f>'COSTOS DETALLADOS'!O5</f>
        <v>0</v>
      </c>
      <c r="M4" s="328">
        <f>'COSTOS DETALLADOS'!P5</f>
        <v>0</v>
      </c>
      <c r="N4" s="328">
        <f>'COSTOS DETALLADOS'!Q5</f>
        <v>0</v>
      </c>
      <c r="O4" s="215">
        <f>SUM(C4:N4)</f>
        <v>4541550227.3997841</v>
      </c>
      <c r="R4"/>
    </row>
    <row r="5" spans="1:18" s="222" customFormat="1" ht="26.25" customHeight="1">
      <c r="A5" s="237" t="s">
        <v>580</v>
      </c>
      <c r="B5" s="238">
        <f>'COSTOS DETALLADOS'!E28</f>
        <v>1816607730.6060801</v>
      </c>
      <c r="C5" s="233">
        <f>'COSTOS DETALLADOS'!F27</f>
        <v>0</v>
      </c>
      <c r="D5" s="283">
        <f>'COSTOS DETALLADOS'!G27</f>
        <v>0</v>
      </c>
      <c r="E5" s="328">
        <f>'COSTOS DETALLADOS'!H27</f>
        <v>1816607730.6060801</v>
      </c>
      <c r="F5" s="328">
        <f>'COSTOS DETALLADOS'!I27</f>
        <v>0</v>
      </c>
      <c r="G5" s="328">
        <f>'COSTOS DETALLADOS'!J27</f>
        <v>0</v>
      </c>
      <c r="H5" s="328">
        <f>'COSTOS DETALLADOS'!K27</f>
        <v>0</v>
      </c>
      <c r="I5" s="328">
        <f>'COSTOS DETALLADOS'!L27</f>
        <v>0</v>
      </c>
      <c r="J5" s="328">
        <f>'COSTOS DETALLADOS'!M27</f>
        <v>0</v>
      </c>
      <c r="K5" s="328">
        <f>'COSTOS DETALLADOS'!N27</f>
        <v>0</v>
      </c>
      <c r="L5" s="328">
        <f>'COSTOS DETALLADOS'!O27</f>
        <v>0</v>
      </c>
      <c r="M5" s="328">
        <f>'COSTOS DETALLADOS'!P27</f>
        <v>0</v>
      </c>
      <c r="N5" s="328">
        <f>'COSTOS DETALLADOS'!Q27</f>
        <v>0</v>
      </c>
      <c r="O5" s="215">
        <f>SUM(C5:N5)</f>
        <v>1816607730.6060801</v>
      </c>
      <c r="R5"/>
    </row>
    <row r="6" spans="1:18" s="222" customFormat="1" ht="26.25" customHeight="1">
      <c r="A6" s="237" t="s">
        <v>581</v>
      </c>
      <c r="B6" s="238">
        <f>'COSTOS DETALLADOS'!E43</f>
        <v>759295650.52108788</v>
      </c>
      <c r="C6" s="233">
        <f>'COSTOS DETALLADOS'!F42</f>
        <v>0</v>
      </c>
      <c r="D6" s="283">
        <f>'COSTOS DETALLADOS'!G42</f>
        <v>0</v>
      </c>
      <c r="E6" s="328">
        <f>'COSTOS DETALLADOS'!H42</f>
        <v>626863558.47167993</v>
      </c>
      <c r="F6" s="328">
        <f>'COSTOS DETALLADOS'!I42</f>
        <v>0</v>
      </c>
      <c r="G6" s="328">
        <f>'COSTOS DETALLADOS'!J42</f>
        <v>0</v>
      </c>
      <c r="H6" s="328">
        <f>'COSTOS DETALLADOS'!K42</f>
        <v>132432092.049408</v>
      </c>
      <c r="I6" s="328">
        <f>'COSTOS DETALLADOS'!L42</f>
        <v>0</v>
      </c>
      <c r="J6" s="328">
        <f>'COSTOS DETALLADOS'!M42</f>
        <v>0</v>
      </c>
      <c r="K6" s="328">
        <f>'COSTOS DETALLADOS'!N42</f>
        <v>0</v>
      </c>
      <c r="L6" s="328">
        <f>'COSTOS DETALLADOS'!O42</f>
        <v>0</v>
      </c>
      <c r="M6" s="328">
        <f>'COSTOS DETALLADOS'!P42</f>
        <v>0</v>
      </c>
      <c r="N6" s="328">
        <f>'COSTOS DETALLADOS'!Q42</f>
        <v>0</v>
      </c>
      <c r="O6" s="215">
        <f>SUM(C6:N6)</f>
        <v>759295650.52108788</v>
      </c>
      <c r="R6"/>
    </row>
    <row r="7" spans="1:18" s="222" customFormat="1" ht="26.25" customHeight="1">
      <c r="A7" s="237" t="s">
        <v>582</v>
      </c>
      <c r="B7" s="238">
        <f>'COSTOS DETALLADOS'!E67</f>
        <v>8588123928.9856005</v>
      </c>
      <c r="C7" s="233">
        <f>'COSTOS DETALLADOS'!F66</f>
        <v>0</v>
      </c>
      <c r="D7" s="283">
        <f>'COSTOS DETALLADOS'!G66</f>
        <v>0</v>
      </c>
      <c r="E7" s="328">
        <f>'COSTOS DETALLADOS'!H66</f>
        <v>0</v>
      </c>
      <c r="F7" s="328">
        <f>'COSTOS DETALLADOS'!I66</f>
        <v>0</v>
      </c>
      <c r="G7" s="328">
        <f>'COSTOS DETALLADOS'!J66</f>
        <v>0</v>
      </c>
      <c r="H7" s="328">
        <f>'COSTOS DETALLADOS'!K66</f>
        <v>0</v>
      </c>
      <c r="I7" s="328">
        <f>'COSTOS DETALLADOS'!L66</f>
        <v>0</v>
      </c>
      <c r="J7" s="328">
        <f>'COSTOS DETALLADOS'!M66</f>
        <v>0</v>
      </c>
      <c r="K7" s="328">
        <f>'COSTOS DETALLADOS'!N66</f>
        <v>0</v>
      </c>
      <c r="L7" s="328">
        <f>'COSTOS DETALLADOS'!O66</f>
        <v>0</v>
      </c>
      <c r="M7" s="328">
        <f>'COSTOS DETALLADOS'!P66</f>
        <v>8588123928.9856005</v>
      </c>
      <c r="N7" s="328">
        <f>'COSTOS DETALLADOS'!Q66</f>
        <v>0</v>
      </c>
      <c r="O7" s="215">
        <f>SUM(C7:N7)</f>
        <v>8588123928.9856005</v>
      </c>
      <c r="R7"/>
    </row>
    <row r="8" spans="1:18" ht="22.5" customHeight="1">
      <c r="A8" s="388" t="s">
        <v>583</v>
      </c>
      <c r="B8" s="389"/>
      <c r="C8" s="376"/>
      <c r="D8" s="377"/>
      <c r="E8" s="377"/>
      <c r="F8" s="377"/>
      <c r="G8" s="377"/>
      <c r="H8" s="377"/>
      <c r="I8" s="377"/>
      <c r="J8" s="377"/>
      <c r="K8" s="377"/>
      <c r="L8" s="377"/>
      <c r="M8" s="378"/>
      <c r="N8" s="378"/>
      <c r="O8" s="379"/>
      <c r="R8"/>
    </row>
    <row r="9" spans="1:18" s="222" customFormat="1" ht="26.25" customHeight="1">
      <c r="A9" s="237" t="s">
        <v>584</v>
      </c>
      <c r="B9" s="238">
        <f>'COSTOS DETALLADOS'!E77</f>
        <v>9458829573.6729603</v>
      </c>
      <c r="C9" s="233">
        <f>'COSTOS DETALLADOS'!F76</f>
        <v>551157055.48800004</v>
      </c>
      <c r="D9" s="283">
        <f>'COSTOS DETALLADOS'!G76</f>
        <v>0</v>
      </c>
      <c r="E9" s="328">
        <f>'COSTOS DETALLADOS'!H76</f>
        <v>2069788405.5756798</v>
      </c>
      <c r="F9" s="328">
        <f>'COSTOS DETALLADOS'!I76</f>
        <v>0</v>
      </c>
      <c r="G9" s="328">
        <f>'COSTOS DETALLADOS'!J76</f>
        <v>0</v>
      </c>
      <c r="H9" s="328">
        <f>'COSTOS DETALLADOS'!K76</f>
        <v>0</v>
      </c>
      <c r="I9" s="328">
        <f>'COSTOS DETALLADOS'!L76</f>
        <v>6286727057.1212807</v>
      </c>
      <c r="J9" s="328">
        <f>'COSTOS DETALLADOS'!M76</f>
        <v>0</v>
      </c>
      <c r="K9" s="328">
        <f>'COSTOS DETALLADOS'!N76</f>
        <v>0</v>
      </c>
      <c r="L9" s="328">
        <f>'COSTOS DETALLADOS'!O76</f>
        <v>551157055.48800004</v>
      </c>
      <c r="M9" s="328">
        <f>'COSTOS DETALLADOS'!P76</f>
        <v>0</v>
      </c>
      <c r="N9" s="328">
        <f>'COSTOS DETALLADOS'!Q76</f>
        <v>0</v>
      </c>
      <c r="O9" s="215">
        <f>SUM(C9:N9)</f>
        <v>9458829573.6729603</v>
      </c>
    </row>
    <row r="10" spans="1:18" s="222" customFormat="1" ht="26.25" customHeight="1">
      <c r="A10" s="237" t="s">
        <v>585</v>
      </c>
      <c r="B10" s="238">
        <f>'COSTOS DETALLADOS'!E98</f>
        <v>513389141.25823998</v>
      </c>
      <c r="C10" s="233">
        <f>'COSTOS DETALLADOS'!F97</f>
        <v>0</v>
      </c>
      <c r="D10" s="283">
        <f>'COSTOS DETALLADOS'!G97</f>
        <v>0</v>
      </c>
      <c r="E10" s="328">
        <f>'COSTOS DETALLADOS'!H97</f>
        <v>0</v>
      </c>
      <c r="F10" s="328">
        <f>'COSTOS DETALLADOS'!I97</f>
        <v>256694570.62911999</v>
      </c>
      <c r="G10" s="328">
        <f>'COSTOS DETALLADOS'!J97</f>
        <v>0</v>
      </c>
      <c r="H10" s="328">
        <f>'COSTOS DETALLADOS'!K97</f>
        <v>256694570.62911999</v>
      </c>
      <c r="I10" s="328">
        <f>'COSTOS DETALLADOS'!L97</f>
        <v>0</v>
      </c>
      <c r="J10" s="328">
        <f>'COSTOS DETALLADOS'!M97</f>
        <v>0</v>
      </c>
      <c r="K10" s="328">
        <f>'COSTOS DETALLADOS'!N97</f>
        <v>0</v>
      </c>
      <c r="L10" s="328">
        <f>'COSTOS DETALLADOS'!O97</f>
        <v>0</v>
      </c>
      <c r="M10" s="328">
        <f>'COSTOS DETALLADOS'!P97</f>
        <v>0</v>
      </c>
      <c r="N10" s="328">
        <f>'COSTOS DETALLADOS'!Q97</f>
        <v>0</v>
      </c>
      <c r="O10" s="215">
        <f>SUM(C10:N10)</f>
        <v>513389141.25823998</v>
      </c>
    </row>
    <row r="11" spans="1:18" ht="22.5" customHeight="1">
      <c r="A11" s="388" t="s">
        <v>586</v>
      </c>
      <c r="B11" s="389"/>
      <c r="C11" s="376"/>
      <c r="D11" s="377"/>
      <c r="E11" s="377"/>
      <c r="F11" s="377"/>
      <c r="G11" s="377"/>
      <c r="H11" s="377"/>
      <c r="I11" s="377"/>
      <c r="J11" s="377"/>
      <c r="K11" s="377"/>
      <c r="L11" s="377"/>
      <c r="M11" s="378"/>
      <c r="N11" s="378"/>
      <c r="O11" s="379"/>
    </row>
    <row r="12" spans="1:18" ht="26.25" customHeight="1">
      <c r="A12" s="237" t="s">
        <v>587</v>
      </c>
      <c r="B12" s="238">
        <f>'COSTOS DETALLADOS'!E104</f>
        <v>19883785848.848385</v>
      </c>
      <c r="C12" s="233">
        <f>'COSTOS DETALLADOS'!F103</f>
        <v>222474417.21344</v>
      </c>
      <c r="D12" s="283">
        <f>'COSTOS DETALLADOS'!G103</f>
        <v>0</v>
      </c>
      <c r="E12" s="328">
        <f>'COSTOS DETALLADOS'!H103</f>
        <v>0</v>
      </c>
      <c r="F12" s="328">
        <f>'COSTOS DETALLADOS'!I103</f>
        <v>0</v>
      </c>
      <c r="G12" s="328">
        <f>'COSTOS DETALLADOS'!J103</f>
        <v>0</v>
      </c>
      <c r="H12" s="328">
        <f>'COSTOS DETALLADOS'!K103</f>
        <v>19542837014.421505</v>
      </c>
      <c r="I12" s="328">
        <f>'COSTOS DETALLADOS'!L103</f>
        <v>0</v>
      </c>
      <c r="J12" s="328">
        <f>'COSTOS DETALLADOS'!M103</f>
        <v>0</v>
      </c>
      <c r="K12" s="328">
        <f>'COSTOS DETALLADOS'!N103</f>
        <v>0</v>
      </c>
      <c r="L12" s="328">
        <f>'COSTOS DETALLADOS'!O103</f>
        <v>0</v>
      </c>
      <c r="M12" s="328">
        <f>'COSTOS DETALLADOS'!P103</f>
        <v>118474417.21343999</v>
      </c>
      <c r="N12" s="328">
        <f>'COSTOS DETALLADOS'!Q103</f>
        <v>0</v>
      </c>
      <c r="O12" s="215">
        <f>SUM(C12:N12)</f>
        <v>19883785848.848385</v>
      </c>
    </row>
    <row r="13" spans="1:18" ht="24.75" customHeight="1">
      <c r="A13" s="388" t="s">
        <v>622</v>
      </c>
      <c r="B13" s="389"/>
      <c r="C13" s="376"/>
      <c r="D13" s="377"/>
      <c r="E13" s="377"/>
      <c r="F13" s="377"/>
      <c r="G13" s="377"/>
      <c r="H13" s="377"/>
      <c r="I13" s="377"/>
      <c r="J13" s="377"/>
      <c r="K13" s="377"/>
      <c r="L13" s="377"/>
      <c r="M13" s="378"/>
      <c r="N13" s="378"/>
      <c r="O13" s="379"/>
    </row>
    <row r="14" spans="1:18" ht="26.25" customHeight="1">
      <c r="A14" s="237" t="s">
        <v>588</v>
      </c>
      <c r="B14" s="238">
        <f>'COSTOS DETALLADOS'!E115</f>
        <v>21716682534.158333</v>
      </c>
      <c r="C14" s="233">
        <f>'COSTOS DETALLADOS'!F114</f>
        <v>5923720860.6719999</v>
      </c>
      <c r="D14" s="283">
        <f>'COSTOS DETALLADOS'!G114</f>
        <v>0</v>
      </c>
      <c r="E14" s="328">
        <f>'COSTOS DETALLADOS'!H114</f>
        <v>0</v>
      </c>
      <c r="F14" s="328">
        <f>'COSTOS DETALLADOS'!I114</f>
        <v>0</v>
      </c>
      <c r="G14" s="328">
        <f>'COSTOS DETALLADOS'!J114</f>
        <v>8676276487.2642555</v>
      </c>
      <c r="H14" s="328">
        <f>'COSTOS DETALLADOS'!K114</f>
        <v>413897668.85376</v>
      </c>
      <c r="I14" s="328">
        <f>'COSTOS DETALLADOS'!L114</f>
        <v>0</v>
      </c>
      <c r="J14" s="328">
        <f>'COSTOS DETALLADOS'!M114</f>
        <v>0</v>
      </c>
      <c r="K14" s="328">
        <f>'COSTOS DETALLADOS'!N114</f>
        <v>0</v>
      </c>
      <c r="L14" s="328">
        <f>'COSTOS DETALLADOS'!O114</f>
        <v>1173981380.7411201</v>
      </c>
      <c r="M14" s="328">
        <f>'COSTOS DETALLADOS'!P114</f>
        <v>1579658896.1792002</v>
      </c>
      <c r="N14" s="328">
        <f>'COSTOS DETALLADOS'!Q114</f>
        <v>3949147240.448</v>
      </c>
      <c r="O14" s="215">
        <f>SUM(C14:N14)</f>
        <v>21716682534.158333</v>
      </c>
    </row>
    <row r="15" spans="1:18" ht="26.25" customHeight="1">
      <c r="A15" s="237" t="s">
        <v>589</v>
      </c>
      <c r="B15" s="238">
        <f>'COSTOS DETALLADOS'!E133</f>
        <v>946778282.51647997</v>
      </c>
      <c r="C15" s="233">
        <f>'COSTOS DETALLADOS'!F132</f>
        <v>0</v>
      </c>
      <c r="D15" s="283">
        <f>'COSTOS DETALLADOS'!G132</f>
        <v>0</v>
      </c>
      <c r="E15" s="328">
        <f>'COSTOS DETALLADOS'!H132</f>
        <v>0</v>
      </c>
      <c r="F15" s="328">
        <f>'COSTOS DETALLADOS'!I132</f>
        <v>0</v>
      </c>
      <c r="G15" s="328">
        <f>'COSTOS DETALLADOS'!J132</f>
        <v>0</v>
      </c>
      <c r="H15" s="328">
        <f>'COSTOS DETALLADOS'!K132</f>
        <v>394914724.04480004</v>
      </c>
      <c r="I15" s="328">
        <f>'COSTOS DETALLADOS'!L132</f>
        <v>0</v>
      </c>
      <c r="J15" s="328">
        <f>'COSTOS DETALLADOS'!M132</f>
        <v>0</v>
      </c>
      <c r="K15" s="328">
        <f>'COSTOS DETALLADOS'!N132</f>
        <v>551863558.47167993</v>
      </c>
      <c r="L15" s="328">
        <f>'COSTOS DETALLADOS'!O132</f>
        <v>0</v>
      </c>
      <c r="M15" s="328">
        <f>'COSTOS DETALLADOS'!P132</f>
        <v>0</v>
      </c>
      <c r="N15" s="328">
        <f>'COSTOS DETALLADOS'!Q132</f>
        <v>0</v>
      </c>
      <c r="O15" s="215">
        <f>SUM(C15:N15)</f>
        <v>946778282.51647997</v>
      </c>
    </row>
    <row r="16" spans="1:18" ht="24.75" customHeight="1">
      <c r="A16" s="388" t="s">
        <v>590</v>
      </c>
      <c r="B16" s="389"/>
      <c r="C16" s="376"/>
      <c r="D16" s="377"/>
      <c r="E16" s="377"/>
      <c r="F16" s="377"/>
      <c r="G16" s="377"/>
      <c r="H16" s="377"/>
      <c r="I16" s="377"/>
      <c r="J16" s="377"/>
      <c r="K16" s="377"/>
      <c r="L16" s="377"/>
      <c r="M16" s="378"/>
      <c r="N16" s="378"/>
      <c r="O16" s="379"/>
    </row>
    <row r="17" spans="1:15" ht="26.25" customHeight="1">
      <c r="A17" s="237" t="s">
        <v>641</v>
      </c>
      <c r="B17" s="238">
        <f>'COSTOS DETALLADOS'!E144</f>
        <v>11689475831.72608</v>
      </c>
      <c r="C17" s="233">
        <f>'COSTOS DETALLADOS'!F143</f>
        <v>0</v>
      </c>
      <c r="D17" s="283">
        <f>'COSTOS DETALLADOS'!G143</f>
        <v>0</v>
      </c>
      <c r="E17" s="328">
        <f>'COSTOS DETALLADOS'!H143</f>
        <v>0</v>
      </c>
      <c r="F17" s="328">
        <f>'COSTOS DETALLADOS'!I143</f>
        <v>0</v>
      </c>
      <c r="G17" s="328">
        <f>'COSTOS DETALLADOS'!J143</f>
        <v>3001351902.7404799</v>
      </c>
      <c r="H17" s="328">
        <f>'COSTOS DETALLADOS'!K143</f>
        <v>8688123928.9855995</v>
      </c>
      <c r="I17" s="328">
        <f>'COSTOS DETALLADOS'!L143</f>
        <v>0</v>
      </c>
      <c r="J17" s="328">
        <f>'COSTOS DETALLADOS'!M143</f>
        <v>0</v>
      </c>
      <c r="K17" s="328">
        <f>'COSTOS DETALLADOS'!N143</f>
        <v>0</v>
      </c>
      <c r="L17" s="328">
        <f>'COSTOS DETALLADOS'!O143</f>
        <v>0</v>
      </c>
      <c r="M17" s="328">
        <f>'COSTOS DETALLADOS'!P143</f>
        <v>0</v>
      </c>
      <c r="N17" s="328">
        <f>'COSTOS DETALLADOS'!Q143</f>
        <v>0</v>
      </c>
      <c r="O17" s="215">
        <f>SUM(C17:N17)</f>
        <v>11689475831.72608</v>
      </c>
    </row>
    <row r="18" spans="1:15" ht="26.25" customHeight="1">
      <c r="A18" s="237" t="s">
        <v>642</v>
      </c>
      <c r="B18" s="238">
        <f>'COSTOS DETALLADOS'!E163</f>
        <v>4804840872.6364155</v>
      </c>
      <c r="C18" s="233">
        <f>'COSTOS DETALLADOS'!F162</f>
        <v>0</v>
      </c>
      <c r="D18" s="283">
        <f>'COSTOS DETALLADOS'!G162</f>
        <v>0</v>
      </c>
      <c r="E18" s="328">
        <f>'COSTOS DETALLADOS'!H162</f>
        <v>0</v>
      </c>
      <c r="F18" s="328">
        <f>'COSTOS DETALLADOS'!I162</f>
        <v>0</v>
      </c>
      <c r="G18" s="328">
        <f>'COSTOS DETALLADOS'!J162</f>
        <v>0</v>
      </c>
      <c r="H18" s="328">
        <f>'COSTOS DETALLADOS'!K162</f>
        <v>4804840872.6364155</v>
      </c>
      <c r="I18" s="328">
        <f>'COSTOS DETALLADOS'!L162</f>
        <v>0</v>
      </c>
      <c r="J18" s="328">
        <f>'COSTOS DETALLADOS'!M162</f>
        <v>0</v>
      </c>
      <c r="K18" s="328">
        <f>'COSTOS DETALLADOS'!N162</f>
        <v>0</v>
      </c>
      <c r="L18" s="328">
        <f>'COSTOS DETALLADOS'!O162</f>
        <v>0</v>
      </c>
      <c r="M18" s="328">
        <f>'COSTOS DETALLADOS'!P162</f>
        <v>0</v>
      </c>
      <c r="N18" s="328">
        <f>'COSTOS DETALLADOS'!Q162</f>
        <v>0</v>
      </c>
      <c r="O18" s="215">
        <f>SUM(C18:N18)</f>
        <v>4804840872.6364155</v>
      </c>
    </row>
    <row r="19" spans="1:15" ht="26.25" customHeight="1">
      <c r="A19" s="237" t="s">
        <v>836</v>
      </c>
      <c r="B19" s="238">
        <f>'COSTOS DETALLADOS'!E172</f>
        <v>12201380422.143181</v>
      </c>
      <c r="C19" s="233">
        <f>'COSTOS DETALLADOS'!F171</f>
        <v>2947403068.3136001</v>
      </c>
      <c r="D19" s="283">
        <f>'COSTOS DETALLADOS'!G171</f>
        <v>0</v>
      </c>
      <c r="E19" s="328">
        <f>'COSTOS DETALLADOS'!H171</f>
        <v>0</v>
      </c>
      <c r="F19" s="328">
        <f>'COSTOS DETALLADOS'!I171</f>
        <v>0</v>
      </c>
      <c r="G19" s="328">
        <f>'COSTOS DETALLADOS'!J171</f>
        <v>0</v>
      </c>
      <c r="H19" s="328">
        <f>'COSTOS DETALLADOS'!K171</f>
        <v>9253977353.8295803</v>
      </c>
      <c r="I19" s="328">
        <f>'COSTOS DETALLADOS'!L171</f>
        <v>0</v>
      </c>
      <c r="J19" s="328">
        <f>'COSTOS DETALLADOS'!M171</f>
        <v>0</v>
      </c>
      <c r="K19" s="328">
        <f>'COSTOS DETALLADOS'!N171</f>
        <v>0</v>
      </c>
      <c r="L19" s="328">
        <f>'COSTOS DETALLADOS'!O171</f>
        <v>0</v>
      </c>
      <c r="M19" s="328">
        <f>'COSTOS DETALLADOS'!P171</f>
        <v>0</v>
      </c>
      <c r="N19" s="328">
        <f>'COSTOS DETALLADOS'!Q171</f>
        <v>0</v>
      </c>
      <c r="O19" s="215">
        <f>SUM(C19:N19)</f>
        <v>12201380422.143181</v>
      </c>
    </row>
    <row r="20" spans="1:15" ht="24" customHeight="1" thickBot="1">
      <c r="A20" s="239" t="s">
        <v>591</v>
      </c>
      <c r="B20" s="236">
        <f>SUM(B4:B7,B9:B10,B12,B14:B15,B17:B19)</f>
        <v>96920740044.472626</v>
      </c>
      <c r="C20" s="234">
        <f t="shared" ref="C20:O20" si="0">SUM(C4:C7,C9:C10,C12,C14:C15,C17:C19)</f>
        <v>11520615791.342133</v>
      </c>
      <c r="D20" s="235">
        <f t="shared" si="0"/>
        <v>0</v>
      </c>
      <c r="E20" s="235">
        <f t="shared" si="0"/>
        <v>4908174418.6982393</v>
      </c>
      <c r="F20" s="235">
        <f t="shared" si="0"/>
        <v>256694570.62911999</v>
      </c>
      <c r="G20" s="235">
        <f t="shared" si="0"/>
        <v>12072543114.049536</v>
      </c>
      <c r="H20" s="235">
        <f t="shared" si="0"/>
        <v>43487718225.450188</v>
      </c>
      <c r="I20" s="235">
        <f t="shared" si="0"/>
        <v>6286727057.1212807</v>
      </c>
      <c r="J20" s="235">
        <f t="shared" si="0"/>
        <v>1875860389.6550922</v>
      </c>
      <c r="K20" s="235">
        <f t="shared" si="0"/>
        <v>551863558.47167993</v>
      </c>
      <c r="L20" s="235">
        <f t="shared" si="0"/>
        <v>1725138436.2291203</v>
      </c>
      <c r="M20" s="235">
        <f t="shared" si="0"/>
        <v>10286257242.378242</v>
      </c>
      <c r="N20" s="235">
        <f t="shared" si="0"/>
        <v>3949147240.448</v>
      </c>
      <c r="O20" s="236">
        <f t="shared" si="0"/>
        <v>96920740044.472626</v>
      </c>
    </row>
  </sheetData>
  <sheetProtection algorithmName="SHA-512" hashValue="CVIW94jEukSs51+ss9//o4A9YydjXSDE7O3WR7uvEqtOA8hNqO3wFpeX8dD1JYx2jHkgjPhJ6HVuSFrqiGlBOw==" saltValue="/ojxBpUJ6hDl4Jcqj7nqIQ==" spinCount="100000" sheet="1" objects="1" scenarios="1"/>
  <mergeCells count="12">
    <mergeCell ref="A1:A2"/>
    <mergeCell ref="C8:O8"/>
    <mergeCell ref="C11:O11"/>
    <mergeCell ref="C13:O13"/>
    <mergeCell ref="C16:O16"/>
    <mergeCell ref="C1:O1"/>
    <mergeCell ref="C3:O3"/>
    <mergeCell ref="A3:B3"/>
    <mergeCell ref="A8:B8"/>
    <mergeCell ref="A11:B11"/>
    <mergeCell ref="A16:B16"/>
    <mergeCell ref="A13:B13"/>
  </mergeCells>
  <pageMargins left="0.7" right="0.7" top="0.75" bottom="0.75" header="0.3" footer="0.3"/>
  <pageSetup orientation="portrait" horizontalDpi="0" verticalDpi="0" r:id="rId1"/>
  <ignoredErrors>
    <ignoredError sqref="B19:B20 B4 B9:B10 B12 B14:B15 B17:B18 O20 B6:B7"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7.125" customWidth="1"/>
    <col min="5" max="5" width="13.5" customWidth="1"/>
    <col min="6" max="6" width="35.5" customWidth="1"/>
    <col min="7" max="7" width="14.875" customWidth="1"/>
    <col min="8" max="8" width="19.5" customWidth="1"/>
    <col min="9" max="9" width="24.87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30" ht="32.1" customHeight="1">
      <c r="A1" s="466" t="s">
        <v>681</v>
      </c>
      <c r="B1" s="466"/>
      <c r="C1" s="466"/>
      <c r="D1" s="466"/>
      <c r="E1" s="466"/>
      <c r="F1" s="466"/>
      <c r="G1" s="466"/>
      <c r="H1" s="466"/>
      <c r="I1" s="466"/>
      <c r="J1" s="466"/>
      <c r="K1" s="466"/>
      <c r="L1" s="466"/>
      <c r="M1" s="466"/>
      <c r="N1" s="466"/>
      <c r="O1" s="466"/>
      <c r="P1" s="466"/>
    </row>
    <row r="2" spans="1:30" ht="16.5" thickBot="1">
      <c r="A2" s="524"/>
      <c r="B2" s="524"/>
      <c r="C2" s="524"/>
      <c r="D2" s="524"/>
      <c r="E2" s="524"/>
      <c r="F2" s="524"/>
      <c r="G2" s="524"/>
      <c r="H2" s="524"/>
      <c r="I2" s="524"/>
      <c r="J2" s="524"/>
      <c r="K2" s="524"/>
      <c r="L2" s="524"/>
      <c r="M2" s="524"/>
      <c r="N2" s="524"/>
      <c r="O2" s="524"/>
      <c r="P2" s="525"/>
      <c r="R2" s="324">
        <f>R5+1</f>
        <v>1.04</v>
      </c>
    </row>
    <row r="3" spans="1:30"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30"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30" s="16" customFormat="1" ht="89.1" customHeight="1">
      <c r="A5" s="446" t="s">
        <v>230</v>
      </c>
      <c r="B5" s="356" t="s">
        <v>231</v>
      </c>
      <c r="C5" s="96" t="s">
        <v>503</v>
      </c>
      <c r="D5" s="96" t="s">
        <v>553</v>
      </c>
      <c r="E5" s="96" t="s">
        <v>37</v>
      </c>
      <c r="F5" s="363" t="s">
        <v>513</v>
      </c>
      <c r="G5" s="99" t="s">
        <v>35</v>
      </c>
      <c r="H5" s="99" t="s">
        <v>35</v>
      </c>
      <c r="I5" s="99" t="s">
        <v>232</v>
      </c>
      <c r="J5" s="99">
        <v>1</v>
      </c>
      <c r="K5" s="99">
        <v>1</v>
      </c>
      <c r="L5" s="99">
        <v>1</v>
      </c>
      <c r="M5" s="99">
        <v>1</v>
      </c>
      <c r="N5" s="99">
        <v>1</v>
      </c>
      <c r="O5" s="99">
        <v>1</v>
      </c>
      <c r="P5" s="188">
        <v>1</v>
      </c>
      <c r="Q5" s="150">
        <v>500000000</v>
      </c>
      <c r="R5" s="136">
        <v>0.04</v>
      </c>
      <c r="S5" s="312">
        <f t="shared" ref="S5:S27" si="0">IF(J5&lt;&gt;0,Q5,0)</f>
        <v>500000000</v>
      </c>
      <c r="T5" s="312">
        <f t="shared" ref="T5:T27" si="1">IF(K5&lt;&gt;0,(IF(S5&lt;&gt;0,(S5*$R$2),($Q5*$R$2))),0)</f>
        <v>520000000</v>
      </c>
      <c r="U5" s="312">
        <f t="shared" ref="U5:U27" si="2">IF(L5&lt;&gt;0,(IF(T5&lt;&gt;0,(T5*$R$2),(($Q5*$R$2)*$R$2))),0)</f>
        <v>540800000</v>
      </c>
      <c r="V5" s="312">
        <f t="shared" ref="V5:V27" si="3">IF(M5&lt;&gt;0,(IF(U5&lt;&gt;0,(U5*$R$2),(($Q5*$R$2)*$R$2*$R$2))),0)</f>
        <v>562432000</v>
      </c>
      <c r="W5" s="312">
        <f t="shared" ref="W5:W27" si="4">IF(N5&lt;&gt;0,(IF(V5&lt;&gt;0,(V5*$R$2),(($Q5*$R$2)*$R$2*$R$2*$R$2))),0)</f>
        <v>584929280</v>
      </c>
      <c r="X5" s="312">
        <f t="shared" ref="X5:X27" si="5">IF(O5&lt;&gt;0,(IF(W5&lt;&gt;0,(W5*$R$2),(($Q5*$R$2)*$R$2*$R$2*$R$2*$R$2))),0)</f>
        <v>608326451.20000005</v>
      </c>
      <c r="Y5" s="312">
        <f t="shared" ref="Y5:Y27" si="6">IF(P5&lt;&gt;0,(IF(X5&lt;&gt;0,(X5*$R$2),(($Q5*$R$2)*$R$2*$R$2*$R$2*$R$2*$R$2))),0)</f>
        <v>632659509.24800003</v>
      </c>
      <c r="Z5" s="137">
        <f>SUM(S5:Y5)</f>
        <v>3949147240.448</v>
      </c>
      <c r="AA5" s="317">
        <f>Z5</f>
        <v>3949147240.448</v>
      </c>
      <c r="AB5" s="319" t="s">
        <v>673</v>
      </c>
    </row>
    <row r="6" spans="1:30" s="16" customFormat="1" ht="91.5" customHeight="1" thickBot="1">
      <c r="A6" s="458"/>
      <c r="B6" s="358" t="s">
        <v>233</v>
      </c>
      <c r="C6" s="98" t="s">
        <v>504</v>
      </c>
      <c r="D6" s="98" t="s">
        <v>555</v>
      </c>
      <c r="E6" s="98" t="s">
        <v>37</v>
      </c>
      <c r="F6" s="358" t="s">
        <v>724</v>
      </c>
      <c r="G6" s="98" t="s">
        <v>35</v>
      </c>
      <c r="H6" s="98" t="s">
        <v>35</v>
      </c>
      <c r="I6" s="98" t="s">
        <v>234</v>
      </c>
      <c r="J6" s="98">
        <v>2</v>
      </c>
      <c r="K6" s="98">
        <v>2</v>
      </c>
      <c r="L6" s="98">
        <v>2</v>
      </c>
      <c r="M6" s="98">
        <v>2</v>
      </c>
      <c r="N6" s="98">
        <v>2</v>
      </c>
      <c r="O6" s="98">
        <v>2</v>
      </c>
      <c r="P6" s="172">
        <v>2</v>
      </c>
      <c r="Q6" s="177">
        <v>6000000</v>
      </c>
      <c r="R6" s="146">
        <v>0.04</v>
      </c>
      <c r="S6" s="147">
        <f t="shared" si="0"/>
        <v>6000000</v>
      </c>
      <c r="T6" s="147">
        <f t="shared" si="1"/>
        <v>6240000</v>
      </c>
      <c r="U6" s="147">
        <f t="shared" si="2"/>
        <v>6489600</v>
      </c>
      <c r="V6" s="147">
        <f t="shared" si="3"/>
        <v>6749184</v>
      </c>
      <c r="W6" s="147">
        <f t="shared" si="4"/>
        <v>7019151.3600000003</v>
      </c>
      <c r="X6" s="147">
        <f t="shared" si="5"/>
        <v>7299917.4144000011</v>
      </c>
      <c r="Y6" s="147">
        <f t="shared" si="6"/>
        <v>7591914.1109760012</v>
      </c>
      <c r="Z6" s="305">
        <f t="shared" ref="Z6:Z27" si="7">SUM(S6:Y6)</f>
        <v>47389766.885376006</v>
      </c>
      <c r="AA6" s="219">
        <f>Z6</f>
        <v>47389766.885376006</v>
      </c>
      <c r="AB6" s="315" t="s">
        <v>675</v>
      </c>
      <c r="AC6" s="273"/>
    </row>
    <row r="7" spans="1:30" s="16" customFormat="1" ht="86.1" customHeight="1">
      <c r="A7" s="446" t="s">
        <v>235</v>
      </c>
      <c r="B7" s="356" t="s">
        <v>365</v>
      </c>
      <c r="C7" s="96" t="s">
        <v>769</v>
      </c>
      <c r="D7" s="96" t="s">
        <v>541</v>
      </c>
      <c r="E7" s="96" t="s">
        <v>54</v>
      </c>
      <c r="F7" s="356" t="s">
        <v>236</v>
      </c>
      <c r="G7" s="96" t="s">
        <v>34</v>
      </c>
      <c r="H7" s="96" t="s">
        <v>35</v>
      </c>
      <c r="I7" s="96" t="s">
        <v>237</v>
      </c>
      <c r="J7" s="96">
        <v>2</v>
      </c>
      <c r="K7" s="96">
        <v>3</v>
      </c>
      <c r="L7" s="96">
        <v>3</v>
      </c>
      <c r="M7" s="96">
        <v>4</v>
      </c>
      <c r="N7" s="96">
        <v>4</v>
      </c>
      <c r="O7" s="96">
        <v>5</v>
      </c>
      <c r="P7" s="166">
        <v>5</v>
      </c>
      <c r="Q7" s="316">
        <v>30000000</v>
      </c>
      <c r="R7" s="174">
        <v>0.04</v>
      </c>
      <c r="S7" s="175">
        <f t="shared" si="0"/>
        <v>30000000</v>
      </c>
      <c r="T7" s="175">
        <f t="shared" si="1"/>
        <v>31200000</v>
      </c>
      <c r="U7" s="175">
        <f t="shared" si="2"/>
        <v>32448000</v>
      </c>
      <c r="V7" s="175">
        <f t="shared" si="3"/>
        <v>33745920</v>
      </c>
      <c r="W7" s="175">
        <f t="shared" si="4"/>
        <v>35095756.800000004</v>
      </c>
      <c r="X7" s="175">
        <f t="shared" si="5"/>
        <v>36499587.072000004</v>
      </c>
      <c r="Y7" s="175">
        <f t="shared" si="6"/>
        <v>37959570.554880008</v>
      </c>
      <c r="Z7" s="301">
        <f t="shared" si="7"/>
        <v>236948834.42688</v>
      </c>
      <c r="AA7" s="320">
        <f>Z7</f>
        <v>236948834.42688</v>
      </c>
      <c r="AB7" s="314" t="s">
        <v>675</v>
      </c>
      <c r="AC7" s="273"/>
    </row>
    <row r="8" spans="1:30" s="16" customFormat="1" ht="95.25" customHeight="1" thickBot="1">
      <c r="A8" s="458"/>
      <c r="B8" s="358" t="s">
        <v>238</v>
      </c>
      <c r="C8" s="98" t="s">
        <v>505</v>
      </c>
      <c r="D8" s="98" t="s">
        <v>537</v>
      </c>
      <c r="E8" s="98" t="s">
        <v>37</v>
      </c>
      <c r="F8" s="358" t="s">
        <v>515</v>
      </c>
      <c r="G8" s="98" t="s">
        <v>34</v>
      </c>
      <c r="H8" s="98" t="s">
        <v>35</v>
      </c>
      <c r="I8" s="51" t="s">
        <v>239</v>
      </c>
      <c r="J8" s="98">
        <v>1</v>
      </c>
      <c r="K8" s="98">
        <v>1</v>
      </c>
      <c r="L8" s="98">
        <v>1</v>
      </c>
      <c r="M8" s="98">
        <v>1</v>
      </c>
      <c r="N8" s="98">
        <v>1</v>
      </c>
      <c r="O8" s="98">
        <v>1</v>
      </c>
      <c r="P8" s="172">
        <v>1</v>
      </c>
      <c r="Q8" s="318">
        <v>15000000</v>
      </c>
      <c r="R8" s="146">
        <v>0.04</v>
      </c>
      <c r="S8" s="147">
        <f t="shared" si="0"/>
        <v>15000000</v>
      </c>
      <c r="T8" s="147">
        <f t="shared" si="1"/>
        <v>15600000</v>
      </c>
      <c r="U8" s="147">
        <f t="shared" si="2"/>
        <v>16224000</v>
      </c>
      <c r="V8" s="147">
        <f t="shared" si="3"/>
        <v>16872960</v>
      </c>
      <c r="W8" s="147">
        <f t="shared" si="4"/>
        <v>17547878.400000002</v>
      </c>
      <c r="X8" s="147">
        <f t="shared" si="5"/>
        <v>18249793.536000002</v>
      </c>
      <c r="Y8" s="147">
        <f t="shared" si="6"/>
        <v>18979785.277440004</v>
      </c>
      <c r="Z8" s="305">
        <f t="shared" si="7"/>
        <v>118474417.21344</v>
      </c>
      <c r="AA8" s="219">
        <f>Z8</f>
        <v>118474417.21344</v>
      </c>
      <c r="AB8" s="315" t="s">
        <v>675</v>
      </c>
      <c r="AC8" s="273"/>
    </row>
    <row r="9" spans="1:30" s="16" customFormat="1" ht="114.75" customHeight="1">
      <c r="A9" s="446" t="s">
        <v>240</v>
      </c>
      <c r="B9" s="504" t="s">
        <v>241</v>
      </c>
      <c r="C9" s="506" t="s">
        <v>506</v>
      </c>
      <c r="D9" s="527" t="s">
        <v>541</v>
      </c>
      <c r="E9" s="96" t="s">
        <v>37</v>
      </c>
      <c r="F9" s="356" t="s">
        <v>242</v>
      </c>
      <c r="G9" s="96" t="s">
        <v>34</v>
      </c>
      <c r="H9" s="96" t="s">
        <v>35</v>
      </c>
      <c r="I9" s="96" t="s">
        <v>243</v>
      </c>
      <c r="J9" s="96">
        <v>1</v>
      </c>
      <c r="K9" s="96">
        <v>1</v>
      </c>
      <c r="L9" s="96">
        <v>1</v>
      </c>
      <c r="M9" s="96">
        <v>1</v>
      </c>
      <c r="N9" s="96">
        <v>1</v>
      </c>
      <c r="O9" s="96">
        <v>1</v>
      </c>
      <c r="P9" s="166">
        <v>1</v>
      </c>
      <c r="Q9" s="316">
        <v>0</v>
      </c>
      <c r="R9" s="174">
        <v>0.04</v>
      </c>
      <c r="S9" s="175">
        <f t="shared" si="0"/>
        <v>0</v>
      </c>
      <c r="T9" s="175">
        <f t="shared" si="1"/>
        <v>0</v>
      </c>
      <c r="U9" s="175">
        <f t="shared" si="2"/>
        <v>0</v>
      </c>
      <c r="V9" s="175">
        <f t="shared" si="3"/>
        <v>0</v>
      </c>
      <c r="W9" s="175">
        <f t="shared" si="4"/>
        <v>0</v>
      </c>
      <c r="X9" s="175">
        <f t="shared" si="5"/>
        <v>0</v>
      </c>
      <c r="Y9" s="175">
        <f t="shared" si="6"/>
        <v>0</v>
      </c>
      <c r="Z9" s="301">
        <f t="shared" si="7"/>
        <v>0</v>
      </c>
      <c r="AA9" s="550">
        <f>SUM(Z9:Z10)</f>
        <v>1382201534.1568</v>
      </c>
      <c r="AB9" s="480" t="s">
        <v>679</v>
      </c>
      <c r="AC9" s="273"/>
    </row>
    <row r="10" spans="1:30" s="16" customFormat="1" ht="87" customHeight="1">
      <c r="A10" s="453"/>
      <c r="B10" s="505"/>
      <c r="C10" s="507"/>
      <c r="D10" s="523"/>
      <c r="E10" s="97" t="s">
        <v>54</v>
      </c>
      <c r="F10" s="344" t="s">
        <v>244</v>
      </c>
      <c r="G10" s="97" t="s">
        <v>34</v>
      </c>
      <c r="H10" s="97" t="s">
        <v>35</v>
      </c>
      <c r="I10" s="97" t="s">
        <v>245</v>
      </c>
      <c r="J10" s="18">
        <v>1</v>
      </c>
      <c r="K10" s="18">
        <v>1</v>
      </c>
      <c r="L10" s="18">
        <v>1</v>
      </c>
      <c r="M10" s="18">
        <v>1</v>
      </c>
      <c r="N10" s="18">
        <v>1</v>
      </c>
      <c r="O10" s="18">
        <v>1</v>
      </c>
      <c r="P10" s="153">
        <v>1</v>
      </c>
      <c r="Q10" s="142">
        <v>175000000</v>
      </c>
      <c r="R10" s="139">
        <v>0.04</v>
      </c>
      <c r="S10" s="140">
        <f t="shared" si="0"/>
        <v>175000000</v>
      </c>
      <c r="T10" s="140">
        <f t="shared" si="1"/>
        <v>182000000</v>
      </c>
      <c r="U10" s="140">
        <f t="shared" si="2"/>
        <v>189280000</v>
      </c>
      <c r="V10" s="140">
        <f t="shared" si="3"/>
        <v>196851200</v>
      </c>
      <c r="W10" s="140">
        <f t="shared" si="4"/>
        <v>204725248</v>
      </c>
      <c r="X10" s="140">
        <f t="shared" si="5"/>
        <v>212914257.92000002</v>
      </c>
      <c r="Y10" s="140">
        <f t="shared" si="6"/>
        <v>221430828.23680001</v>
      </c>
      <c r="Z10" s="302">
        <f t="shared" si="7"/>
        <v>1382201534.1568</v>
      </c>
      <c r="AA10" s="394"/>
      <c r="AB10" s="485"/>
      <c r="AC10" s="273"/>
    </row>
    <row r="11" spans="1:30" s="16" customFormat="1" ht="81.75" customHeight="1">
      <c r="A11" s="453"/>
      <c r="B11" s="344" t="s">
        <v>366</v>
      </c>
      <c r="C11" s="97" t="s">
        <v>507</v>
      </c>
      <c r="D11" s="97" t="s">
        <v>538</v>
      </c>
      <c r="E11" s="97" t="s">
        <v>37</v>
      </c>
      <c r="F11" s="341" t="s">
        <v>246</v>
      </c>
      <c r="G11" s="100" t="s">
        <v>34</v>
      </c>
      <c r="H11" s="100" t="s">
        <v>35</v>
      </c>
      <c r="I11" s="100" t="s">
        <v>247</v>
      </c>
      <c r="J11" s="307">
        <v>15</v>
      </c>
      <c r="K11" s="307">
        <v>15</v>
      </c>
      <c r="L11" s="307">
        <v>15</v>
      </c>
      <c r="M11" s="307">
        <v>15</v>
      </c>
      <c r="N11" s="307">
        <v>15</v>
      </c>
      <c r="O11" s="307">
        <v>15</v>
      </c>
      <c r="P11" s="189">
        <v>15</v>
      </c>
      <c r="Q11" s="142">
        <v>1500000000</v>
      </c>
      <c r="R11" s="139">
        <v>0.04</v>
      </c>
      <c r="S11" s="140">
        <f t="shared" si="0"/>
        <v>1500000000</v>
      </c>
      <c r="T11" s="140">
        <f t="shared" si="1"/>
        <v>1560000000</v>
      </c>
      <c r="U11" s="140">
        <f t="shared" si="2"/>
        <v>1622400000</v>
      </c>
      <c r="V11" s="140">
        <f t="shared" si="3"/>
        <v>1687296000</v>
      </c>
      <c r="W11" s="140">
        <f t="shared" si="4"/>
        <v>1754787840</v>
      </c>
      <c r="X11" s="140">
        <f t="shared" si="5"/>
        <v>1824979353.6000001</v>
      </c>
      <c r="Y11" s="140">
        <f t="shared" si="6"/>
        <v>1897978527.7440002</v>
      </c>
      <c r="Z11" s="302">
        <f t="shared" si="7"/>
        <v>11847441721.344</v>
      </c>
      <c r="AA11" s="215">
        <f>Z11</f>
        <v>11847441721.344</v>
      </c>
      <c r="AB11" s="265" t="s">
        <v>680</v>
      </c>
      <c r="AC11" s="273"/>
      <c r="AD11" s="121"/>
    </row>
    <row r="12" spans="1:30" s="16" customFormat="1" ht="114.75" customHeight="1" thickBot="1">
      <c r="A12" s="458"/>
      <c r="B12" s="358" t="s">
        <v>248</v>
      </c>
      <c r="C12" s="98" t="s">
        <v>508</v>
      </c>
      <c r="D12" s="98" t="s">
        <v>538</v>
      </c>
      <c r="E12" s="98" t="s">
        <v>37</v>
      </c>
      <c r="F12" s="358" t="s">
        <v>514</v>
      </c>
      <c r="G12" s="98" t="s">
        <v>35</v>
      </c>
      <c r="H12" s="98" t="s">
        <v>35</v>
      </c>
      <c r="I12" s="98" t="s">
        <v>249</v>
      </c>
      <c r="J12" s="98">
        <v>1</v>
      </c>
      <c r="K12" s="98">
        <v>1</v>
      </c>
      <c r="L12" s="98">
        <v>1</v>
      </c>
      <c r="M12" s="98">
        <v>1</v>
      </c>
      <c r="N12" s="98">
        <v>1</v>
      </c>
      <c r="O12" s="98">
        <v>1</v>
      </c>
      <c r="P12" s="172">
        <v>1</v>
      </c>
      <c r="Q12" s="177">
        <v>0</v>
      </c>
      <c r="R12" s="146">
        <v>0.04</v>
      </c>
      <c r="S12" s="147">
        <f t="shared" si="0"/>
        <v>0</v>
      </c>
      <c r="T12" s="147">
        <f t="shared" si="1"/>
        <v>0</v>
      </c>
      <c r="U12" s="147">
        <f t="shared" si="2"/>
        <v>0</v>
      </c>
      <c r="V12" s="147">
        <f t="shared" si="3"/>
        <v>0</v>
      </c>
      <c r="W12" s="147">
        <f t="shared" si="4"/>
        <v>0</v>
      </c>
      <c r="X12" s="147">
        <f t="shared" si="5"/>
        <v>0</v>
      </c>
      <c r="Y12" s="147">
        <f t="shared" si="6"/>
        <v>0</v>
      </c>
      <c r="Z12" s="305">
        <f t="shared" si="7"/>
        <v>0</v>
      </c>
      <c r="AA12" s="219">
        <f>Z12</f>
        <v>0</v>
      </c>
      <c r="AB12" s="266" t="s">
        <v>673</v>
      </c>
    </row>
    <row r="13" spans="1:30" s="16" customFormat="1" ht="90" customHeight="1">
      <c r="A13" s="446" t="s">
        <v>250</v>
      </c>
      <c r="B13" s="356" t="s">
        <v>251</v>
      </c>
      <c r="C13" s="96" t="s">
        <v>509</v>
      </c>
      <c r="D13" s="96" t="s">
        <v>541</v>
      </c>
      <c r="E13" s="96" t="s">
        <v>54</v>
      </c>
      <c r="F13" s="356" t="s">
        <v>252</v>
      </c>
      <c r="G13" s="96" t="s">
        <v>34</v>
      </c>
      <c r="H13" s="96" t="s">
        <v>35</v>
      </c>
      <c r="I13" s="96" t="s">
        <v>253</v>
      </c>
      <c r="J13" s="96">
        <v>3</v>
      </c>
      <c r="K13" s="96">
        <v>3</v>
      </c>
      <c r="L13" s="96">
        <v>4</v>
      </c>
      <c r="M13" s="96">
        <v>4</v>
      </c>
      <c r="N13" s="96">
        <v>4</v>
      </c>
      <c r="O13" s="96">
        <v>4</v>
      </c>
      <c r="P13" s="166">
        <v>4</v>
      </c>
      <c r="Q13" s="316">
        <v>400000000</v>
      </c>
      <c r="R13" s="174">
        <v>0.04</v>
      </c>
      <c r="S13" s="175">
        <f t="shared" si="0"/>
        <v>400000000</v>
      </c>
      <c r="T13" s="175">
        <f t="shared" si="1"/>
        <v>416000000</v>
      </c>
      <c r="U13" s="175">
        <f t="shared" si="2"/>
        <v>432640000</v>
      </c>
      <c r="V13" s="175">
        <f t="shared" si="3"/>
        <v>449945600</v>
      </c>
      <c r="W13" s="175">
        <f t="shared" si="4"/>
        <v>467943424</v>
      </c>
      <c r="X13" s="175">
        <f t="shared" si="5"/>
        <v>486661160.96000004</v>
      </c>
      <c r="Y13" s="175">
        <f t="shared" si="6"/>
        <v>506127607.39840007</v>
      </c>
      <c r="Z13" s="301">
        <f t="shared" si="7"/>
        <v>3159317792.3584003</v>
      </c>
      <c r="AA13" s="304">
        <f>Z13</f>
        <v>3159317792.3584003</v>
      </c>
      <c r="AB13" s="309" t="s">
        <v>680</v>
      </c>
      <c r="AC13" s="273"/>
    </row>
    <row r="14" spans="1:30" s="16" customFormat="1" ht="117" customHeight="1">
      <c r="A14" s="453"/>
      <c r="B14" s="530" t="s">
        <v>785</v>
      </c>
      <c r="C14" s="532" t="s">
        <v>506</v>
      </c>
      <c r="D14" s="510" t="s">
        <v>541</v>
      </c>
      <c r="E14" s="97" t="s">
        <v>37</v>
      </c>
      <c r="F14" s="344" t="s">
        <v>783</v>
      </c>
      <c r="G14" s="97" t="s">
        <v>34</v>
      </c>
      <c r="H14" s="97" t="s">
        <v>35</v>
      </c>
      <c r="I14" s="97" t="s">
        <v>243</v>
      </c>
      <c r="J14" s="97">
        <v>1</v>
      </c>
      <c r="K14" s="97">
        <v>1</v>
      </c>
      <c r="L14" s="97">
        <v>1</v>
      </c>
      <c r="M14" s="97">
        <v>1</v>
      </c>
      <c r="N14" s="97">
        <v>1</v>
      </c>
      <c r="O14" s="97">
        <v>1</v>
      </c>
      <c r="P14" s="169">
        <v>1</v>
      </c>
      <c r="Q14" s="142">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427">
        <f>SUM(Z14:Z15)</f>
        <v>78982944.808959991</v>
      </c>
      <c r="AB14" s="486" t="s">
        <v>675</v>
      </c>
      <c r="AC14" s="273"/>
    </row>
    <row r="15" spans="1:30" s="16" customFormat="1" ht="90.95" customHeight="1" thickBot="1">
      <c r="A15" s="458"/>
      <c r="B15" s="545"/>
      <c r="C15" s="546"/>
      <c r="D15" s="511"/>
      <c r="E15" s="102" t="s">
        <v>54</v>
      </c>
      <c r="F15" s="367" t="s">
        <v>254</v>
      </c>
      <c r="G15" s="102" t="s">
        <v>34</v>
      </c>
      <c r="H15" s="102" t="s">
        <v>159</v>
      </c>
      <c r="I15" s="102" t="s">
        <v>255</v>
      </c>
      <c r="J15" s="29">
        <v>0.8</v>
      </c>
      <c r="K15" s="52">
        <v>0.8</v>
      </c>
      <c r="L15" s="52">
        <v>0.9</v>
      </c>
      <c r="M15" s="52">
        <v>0.9</v>
      </c>
      <c r="N15" s="52">
        <v>0.9</v>
      </c>
      <c r="O15" s="52">
        <v>1</v>
      </c>
      <c r="P15" s="202">
        <v>1</v>
      </c>
      <c r="Q15" s="143">
        <v>10000000</v>
      </c>
      <c r="R15" s="144">
        <v>0.04</v>
      </c>
      <c r="S15" s="147">
        <f t="shared" si="0"/>
        <v>10000000</v>
      </c>
      <c r="T15" s="147">
        <f t="shared" si="1"/>
        <v>10400000</v>
      </c>
      <c r="U15" s="147">
        <f t="shared" si="2"/>
        <v>10816000</v>
      </c>
      <c r="V15" s="147">
        <f t="shared" si="3"/>
        <v>11248640</v>
      </c>
      <c r="W15" s="147">
        <f t="shared" si="4"/>
        <v>11698585.6</v>
      </c>
      <c r="X15" s="147">
        <f t="shared" si="5"/>
        <v>12166529.024</v>
      </c>
      <c r="Y15" s="147">
        <f t="shared" si="6"/>
        <v>12653190.18496</v>
      </c>
      <c r="Z15" s="145">
        <f t="shared" si="7"/>
        <v>78982944.808959991</v>
      </c>
      <c r="AA15" s="497"/>
      <c r="AB15" s="481"/>
    </row>
    <row r="16" spans="1:30" s="16" customFormat="1" ht="90" customHeight="1">
      <c r="A16" s="446" t="s">
        <v>256</v>
      </c>
      <c r="B16" s="529" t="s">
        <v>257</v>
      </c>
      <c r="C16" s="99" t="s">
        <v>510</v>
      </c>
      <c r="D16" s="547" t="s">
        <v>541</v>
      </c>
      <c r="E16" s="99" t="s">
        <v>37</v>
      </c>
      <c r="F16" s="363" t="s">
        <v>725</v>
      </c>
      <c r="G16" s="99" t="s">
        <v>35</v>
      </c>
      <c r="H16" s="99" t="s">
        <v>35</v>
      </c>
      <c r="I16" s="99" t="s">
        <v>258</v>
      </c>
      <c r="J16" s="99">
        <v>1</v>
      </c>
      <c r="K16" s="99">
        <v>0</v>
      </c>
      <c r="L16" s="99">
        <v>1</v>
      </c>
      <c r="M16" s="99">
        <v>0</v>
      </c>
      <c r="N16" s="99">
        <v>1</v>
      </c>
      <c r="O16" s="99">
        <v>0</v>
      </c>
      <c r="P16" s="188">
        <v>1</v>
      </c>
      <c r="Q16" s="150">
        <v>0</v>
      </c>
      <c r="R16" s="136">
        <v>0.04</v>
      </c>
      <c r="S16" s="175">
        <f t="shared" si="0"/>
        <v>0</v>
      </c>
      <c r="T16" s="175">
        <f t="shared" si="1"/>
        <v>0</v>
      </c>
      <c r="U16" s="175">
        <f t="shared" si="2"/>
        <v>0</v>
      </c>
      <c r="V16" s="175">
        <f t="shared" si="3"/>
        <v>0</v>
      </c>
      <c r="W16" s="175">
        <f t="shared" si="4"/>
        <v>0</v>
      </c>
      <c r="X16" s="175">
        <f t="shared" si="5"/>
        <v>0</v>
      </c>
      <c r="Y16" s="175">
        <f t="shared" si="6"/>
        <v>0</v>
      </c>
      <c r="Z16" s="137">
        <f t="shared" si="7"/>
        <v>0</v>
      </c>
      <c r="AA16" s="494">
        <f>SUM(Z16:Z24)</f>
        <v>482880613.66272002</v>
      </c>
      <c r="AB16" s="480" t="s">
        <v>658</v>
      </c>
    </row>
    <row r="17" spans="1:28" s="16" customFormat="1" ht="72" customHeight="1">
      <c r="A17" s="453"/>
      <c r="B17" s="530"/>
      <c r="C17" s="100" t="s">
        <v>509</v>
      </c>
      <c r="D17" s="548"/>
      <c r="E17" s="100" t="s">
        <v>54</v>
      </c>
      <c r="F17" s="341" t="s">
        <v>259</v>
      </c>
      <c r="G17" s="100" t="s">
        <v>35</v>
      </c>
      <c r="H17" s="100" t="s">
        <v>159</v>
      </c>
      <c r="I17" s="100" t="s">
        <v>260</v>
      </c>
      <c r="J17" s="100">
        <v>0</v>
      </c>
      <c r="K17" s="30">
        <v>0.5</v>
      </c>
      <c r="L17" s="30">
        <v>1</v>
      </c>
      <c r="M17" s="30">
        <v>0.5</v>
      </c>
      <c r="N17" s="40">
        <v>1</v>
      </c>
      <c r="O17" s="40">
        <v>0.5</v>
      </c>
      <c r="P17" s="201">
        <v>1</v>
      </c>
      <c r="Q17" s="143">
        <v>70000000</v>
      </c>
      <c r="R17" s="139">
        <v>0.04</v>
      </c>
      <c r="S17" s="140">
        <f t="shared" si="0"/>
        <v>0</v>
      </c>
      <c r="T17" s="140">
        <f t="shared" si="1"/>
        <v>72800000</v>
      </c>
      <c r="U17" s="140">
        <f t="shared" si="2"/>
        <v>75712000</v>
      </c>
      <c r="V17" s="140">
        <f t="shared" si="3"/>
        <v>78740480</v>
      </c>
      <c r="W17" s="140">
        <f t="shared" si="4"/>
        <v>81890099.200000003</v>
      </c>
      <c r="X17" s="140">
        <f t="shared" si="5"/>
        <v>85165703.168000013</v>
      </c>
      <c r="Y17" s="140">
        <f t="shared" si="6"/>
        <v>88572331.294720009</v>
      </c>
      <c r="Z17" s="141">
        <f t="shared" si="7"/>
        <v>482880613.66272002</v>
      </c>
      <c r="AA17" s="427"/>
      <c r="AB17" s="480"/>
    </row>
    <row r="18" spans="1:28" s="16" customFormat="1" ht="96" customHeight="1">
      <c r="A18" s="453"/>
      <c r="B18" s="530"/>
      <c r="C18" s="100" t="s">
        <v>261</v>
      </c>
      <c r="D18" s="548"/>
      <c r="E18" s="100" t="s">
        <v>54</v>
      </c>
      <c r="F18" s="341" t="s">
        <v>262</v>
      </c>
      <c r="G18" s="100" t="s">
        <v>34</v>
      </c>
      <c r="H18" s="100" t="s">
        <v>35</v>
      </c>
      <c r="I18" s="100" t="s">
        <v>263</v>
      </c>
      <c r="J18" s="53">
        <v>4750</v>
      </c>
      <c r="K18" s="53">
        <v>5000</v>
      </c>
      <c r="L18" s="53">
        <v>5250</v>
      </c>
      <c r="M18" s="53">
        <v>5500</v>
      </c>
      <c r="N18" s="54">
        <v>5750</v>
      </c>
      <c r="O18" s="54">
        <v>6000</v>
      </c>
      <c r="P18" s="203">
        <v>6250</v>
      </c>
      <c r="Q18" s="142">
        <v>0</v>
      </c>
      <c r="R18" s="139">
        <v>0.04</v>
      </c>
      <c r="S18" s="140">
        <f t="shared" si="0"/>
        <v>0</v>
      </c>
      <c r="T18" s="140">
        <f t="shared" si="1"/>
        <v>0</v>
      </c>
      <c r="U18" s="140">
        <f t="shared" si="2"/>
        <v>0</v>
      </c>
      <c r="V18" s="140">
        <f t="shared" si="3"/>
        <v>0</v>
      </c>
      <c r="W18" s="140">
        <f t="shared" si="4"/>
        <v>0</v>
      </c>
      <c r="X18" s="140">
        <f t="shared" si="5"/>
        <v>0</v>
      </c>
      <c r="Y18" s="140">
        <f t="shared" si="6"/>
        <v>0</v>
      </c>
      <c r="Z18" s="141">
        <f t="shared" si="7"/>
        <v>0</v>
      </c>
      <c r="AA18" s="427"/>
      <c r="AB18" s="480"/>
    </row>
    <row r="19" spans="1:28" s="16" customFormat="1" ht="65.25" customHeight="1">
      <c r="A19" s="453"/>
      <c r="B19" s="530"/>
      <c r="C19" s="100" t="s">
        <v>261</v>
      </c>
      <c r="D19" s="548"/>
      <c r="E19" s="100" t="s">
        <v>54</v>
      </c>
      <c r="F19" s="341" t="s">
        <v>264</v>
      </c>
      <c r="G19" s="100" t="s">
        <v>34</v>
      </c>
      <c r="H19" s="100" t="s">
        <v>35</v>
      </c>
      <c r="I19" s="100" t="s">
        <v>265</v>
      </c>
      <c r="J19" s="53">
        <v>5000</v>
      </c>
      <c r="K19" s="53">
        <v>5100</v>
      </c>
      <c r="L19" s="53">
        <v>5200</v>
      </c>
      <c r="M19" s="53">
        <v>5300</v>
      </c>
      <c r="N19" s="54">
        <v>5400</v>
      </c>
      <c r="O19" s="54">
        <v>5500</v>
      </c>
      <c r="P19" s="203">
        <v>5600</v>
      </c>
      <c r="Q19" s="142">
        <v>0</v>
      </c>
      <c r="R19" s="139">
        <v>0.04</v>
      </c>
      <c r="S19" s="140">
        <f t="shared" si="0"/>
        <v>0</v>
      </c>
      <c r="T19" s="140">
        <f t="shared" si="1"/>
        <v>0</v>
      </c>
      <c r="U19" s="140">
        <f t="shared" si="2"/>
        <v>0</v>
      </c>
      <c r="V19" s="140">
        <f t="shared" si="3"/>
        <v>0</v>
      </c>
      <c r="W19" s="140">
        <f t="shared" si="4"/>
        <v>0</v>
      </c>
      <c r="X19" s="140">
        <f t="shared" si="5"/>
        <v>0</v>
      </c>
      <c r="Y19" s="140">
        <f t="shared" si="6"/>
        <v>0</v>
      </c>
      <c r="Z19" s="141">
        <f t="shared" si="7"/>
        <v>0</v>
      </c>
      <c r="AA19" s="427"/>
      <c r="AB19" s="480"/>
    </row>
    <row r="20" spans="1:28" s="16" customFormat="1" ht="60.75" customHeight="1">
      <c r="A20" s="453"/>
      <c r="B20" s="530"/>
      <c r="C20" s="100" t="s">
        <v>261</v>
      </c>
      <c r="D20" s="548"/>
      <c r="E20" s="100" t="s">
        <v>54</v>
      </c>
      <c r="F20" s="341" t="s">
        <v>266</v>
      </c>
      <c r="G20" s="100" t="s">
        <v>34</v>
      </c>
      <c r="H20" s="100" t="s">
        <v>35</v>
      </c>
      <c r="I20" s="100" t="s">
        <v>267</v>
      </c>
      <c r="J20" s="53">
        <v>1100</v>
      </c>
      <c r="K20" s="53">
        <v>1200</v>
      </c>
      <c r="L20" s="53">
        <v>1300</v>
      </c>
      <c r="M20" s="53">
        <v>1400</v>
      </c>
      <c r="N20" s="54">
        <v>1500</v>
      </c>
      <c r="O20" s="54">
        <v>1600</v>
      </c>
      <c r="P20" s="203">
        <v>1700</v>
      </c>
      <c r="Q20" s="142">
        <v>0</v>
      </c>
      <c r="R20" s="139">
        <v>0.04</v>
      </c>
      <c r="S20" s="140">
        <f t="shared" si="0"/>
        <v>0</v>
      </c>
      <c r="T20" s="140">
        <f t="shared" si="1"/>
        <v>0</v>
      </c>
      <c r="U20" s="140">
        <f t="shared" si="2"/>
        <v>0</v>
      </c>
      <c r="V20" s="140">
        <f t="shared" si="3"/>
        <v>0</v>
      </c>
      <c r="W20" s="140">
        <f t="shared" si="4"/>
        <v>0</v>
      </c>
      <c r="X20" s="140">
        <f t="shared" si="5"/>
        <v>0</v>
      </c>
      <c r="Y20" s="140">
        <f t="shared" si="6"/>
        <v>0</v>
      </c>
      <c r="Z20" s="141">
        <f t="shared" si="7"/>
        <v>0</v>
      </c>
      <c r="AA20" s="427"/>
      <c r="AB20" s="480"/>
    </row>
    <row r="21" spans="1:28" s="16" customFormat="1" ht="55.5" customHeight="1">
      <c r="A21" s="453"/>
      <c r="B21" s="530"/>
      <c r="C21" s="100" t="s">
        <v>261</v>
      </c>
      <c r="D21" s="548"/>
      <c r="E21" s="100" t="s">
        <v>54</v>
      </c>
      <c r="F21" s="341" t="s">
        <v>268</v>
      </c>
      <c r="G21" s="100" t="s">
        <v>35</v>
      </c>
      <c r="H21" s="100" t="s">
        <v>35</v>
      </c>
      <c r="I21" s="100" t="s">
        <v>269</v>
      </c>
      <c r="J21" s="53">
        <v>45</v>
      </c>
      <c r="K21" s="53">
        <v>50</v>
      </c>
      <c r="L21" s="53">
        <v>55</v>
      </c>
      <c r="M21" s="53">
        <v>60</v>
      </c>
      <c r="N21" s="54">
        <v>65</v>
      </c>
      <c r="O21" s="54">
        <v>70</v>
      </c>
      <c r="P21" s="203">
        <v>75</v>
      </c>
      <c r="Q21" s="142">
        <v>0</v>
      </c>
      <c r="R21" s="139">
        <v>0.04</v>
      </c>
      <c r="S21" s="140">
        <f t="shared" si="0"/>
        <v>0</v>
      </c>
      <c r="T21" s="140">
        <f t="shared" si="1"/>
        <v>0</v>
      </c>
      <c r="U21" s="140">
        <f t="shared" si="2"/>
        <v>0</v>
      </c>
      <c r="V21" s="140">
        <f t="shared" si="3"/>
        <v>0</v>
      </c>
      <c r="W21" s="140">
        <f t="shared" si="4"/>
        <v>0</v>
      </c>
      <c r="X21" s="140">
        <f t="shared" si="5"/>
        <v>0</v>
      </c>
      <c r="Y21" s="140">
        <f t="shared" si="6"/>
        <v>0</v>
      </c>
      <c r="Z21" s="141">
        <f t="shared" si="7"/>
        <v>0</v>
      </c>
      <c r="AA21" s="427"/>
      <c r="AB21" s="480"/>
    </row>
    <row r="22" spans="1:28" s="16" customFormat="1" ht="81.75" customHeight="1">
      <c r="A22" s="453"/>
      <c r="B22" s="530"/>
      <c r="C22" s="100" t="s">
        <v>261</v>
      </c>
      <c r="D22" s="548"/>
      <c r="E22" s="100" t="s">
        <v>54</v>
      </c>
      <c r="F22" s="341" t="s">
        <v>430</v>
      </c>
      <c r="G22" s="100" t="s">
        <v>35</v>
      </c>
      <c r="H22" s="100" t="s">
        <v>35</v>
      </c>
      <c r="I22" s="40" t="s">
        <v>431</v>
      </c>
      <c r="J22" s="30">
        <v>0.45</v>
      </c>
      <c r="K22" s="30">
        <v>0.5</v>
      </c>
      <c r="L22" s="30">
        <v>0.55000000000000004</v>
      </c>
      <c r="M22" s="30">
        <v>0.6</v>
      </c>
      <c r="N22" s="30">
        <v>0.6</v>
      </c>
      <c r="O22" s="30">
        <v>0.6</v>
      </c>
      <c r="P22" s="190">
        <v>0.6</v>
      </c>
      <c r="Q22" s="142">
        <v>0</v>
      </c>
      <c r="R22" s="139">
        <v>0.04</v>
      </c>
      <c r="S22" s="140">
        <f t="shared" si="0"/>
        <v>0</v>
      </c>
      <c r="T22" s="140">
        <f t="shared" si="1"/>
        <v>0</v>
      </c>
      <c r="U22" s="140">
        <f t="shared" si="2"/>
        <v>0</v>
      </c>
      <c r="V22" s="140">
        <f t="shared" si="3"/>
        <v>0</v>
      </c>
      <c r="W22" s="140">
        <f t="shared" si="4"/>
        <v>0</v>
      </c>
      <c r="X22" s="140">
        <f t="shared" si="5"/>
        <v>0</v>
      </c>
      <c r="Y22" s="140">
        <f t="shared" si="6"/>
        <v>0</v>
      </c>
      <c r="Z22" s="141">
        <f t="shared" si="7"/>
        <v>0</v>
      </c>
      <c r="AA22" s="427"/>
      <c r="AB22" s="480"/>
    </row>
    <row r="23" spans="1:28" s="16" customFormat="1" ht="51.75" customHeight="1">
      <c r="A23" s="453"/>
      <c r="B23" s="530"/>
      <c r="C23" s="100" t="s">
        <v>261</v>
      </c>
      <c r="D23" s="548"/>
      <c r="E23" s="100" t="s">
        <v>54</v>
      </c>
      <c r="F23" s="341" t="s">
        <v>270</v>
      </c>
      <c r="G23" s="100" t="s">
        <v>35</v>
      </c>
      <c r="H23" s="100" t="s">
        <v>35</v>
      </c>
      <c r="I23" s="40" t="s">
        <v>271</v>
      </c>
      <c r="J23" s="30">
        <v>0.45</v>
      </c>
      <c r="K23" s="30">
        <v>0.5</v>
      </c>
      <c r="L23" s="30">
        <v>0.55000000000000004</v>
      </c>
      <c r="M23" s="30">
        <v>0.6</v>
      </c>
      <c r="N23" s="30">
        <v>0.6</v>
      </c>
      <c r="O23" s="30">
        <v>0.6</v>
      </c>
      <c r="P23" s="190">
        <v>0.6</v>
      </c>
      <c r="Q23" s="142">
        <v>0</v>
      </c>
      <c r="R23" s="139">
        <v>0.04</v>
      </c>
      <c r="S23" s="140">
        <f t="shared" si="0"/>
        <v>0</v>
      </c>
      <c r="T23" s="140">
        <f t="shared" si="1"/>
        <v>0</v>
      </c>
      <c r="U23" s="140">
        <f t="shared" si="2"/>
        <v>0</v>
      </c>
      <c r="V23" s="140">
        <f t="shared" si="3"/>
        <v>0</v>
      </c>
      <c r="W23" s="140">
        <f t="shared" si="4"/>
        <v>0</v>
      </c>
      <c r="X23" s="140">
        <f t="shared" si="5"/>
        <v>0</v>
      </c>
      <c r="Y23" s="140">
        <f t="shared" si="6"/>
        <v>0</v>
      </c>
      <c r="Z23" s="141">
        <f t="shared" si="7"/>
        <v>0</v>
      </c>
      <c r="AA23" s="427"/>
      <c r="AB23" s="480"/>
    </row>
    <row r="24" spans="1:28" s="16" customFormat="1" ht="66.75" customHeight="1">
      <c r="A24" s="453"/>
      <c r="B24" s="530"/>
      <c r="C24" s="100" t="s">
        <v>261</v>
      </c>
      <c r="D24" s="549"/>
      <c r="E24" s="100" t="s">
        <v>54</v>
      </c>
      <c r="F24" s="341" t="s">
        <v>272</v>
      </c>
      <c r="G24" s="100" t="s">
        <v>35</v>
      </c>
      <c r="H24" s="100" t="s">
        <v>159</v>
      </c>
      <c r="I24" s="100" t="s">
        <v>273</v>
      </c>
      <c r="J24" s="30">
        <v>0.1</v>
      </c>
      <c r="K24" s="30">
        <v>0.2</v>
      </c>
      <c r="L24" s="30">
        <v>0.3</v>
      </c>
      <c r="M24" s="30">
        <v>0.4</v>
      </c>
      <c r="N24" s="30">
        <v>0.5</v>
      </c>
      <c r="O24" s="30">
        <v>0.6</v>
      </c>
      <c r="P24" s="190">
        <v>0.7</v>
      </c>
      <c r="Q24" s="142">
        <v>0</v>
      </c>
      <c r="R24" s="139">
        <v>0.04</v>
      </c>
      <c r="S24" s="140">
        <f t="shared" si="0"/>
        <v>0</v>
      </c>
      <c r="T24" s="140">
        <f t="shared" si="1"/>
        <v>0</v>
      </c>
      <c r="U24" s="140">
        <f t="shared" si="2"/>
        <v>0</v>
      </c>
      <c r="V24" s="140">
        <f t="shared" si="3"/>
        <v>0</v>
      </c>
      <c r="W24" s="140">
        <f t="shared" si="4"/>
        <v>0</v>
      </c>
      <c r="X24" s="140">
        <f t="shared" si="5"/>
        <v>0</v>
      </c>
      <c r="Y24" s="140">
        <f t="shared" si="6"/>
        <v>0</v>
      </c>
      <c r="Z24" s="141">
        <f t="shared" si="7"/>
        <v>0</v>
      </c>
      <c r="AA24" s="427"/>
      <c r="AB24" s="485"/>
    </row>
    <row r="25" spans="1:28" s="16" customFormat="1" ht="112.5" customHeight="1">
      <c r="A25" s="453"/>
      <c r="B25" s="530" t="s">
        <v>697</v>
      </c>
      <c r="C25" s="100" t="s">
        <v>511</v>
      </c>
      <c r="D25" s="543" t="s">
        <v>537</v>
      </c>
      <c r="E25" s="100" t="s">
        <v>37</v>
      </c>
      <c r="F25" s="341" t="s">
        <v>274</v>
      </c>
      <c r="G25" s="100" t="s">
        <v>35</v>
      </c>
      <c r="H25" s="100" t="s">
        <v>35</v>
      </c>
      <c r="I25" s="100" t="s">
        <v>275</v>
      </c>
      <c r="J25" s="100">
        <v>1</v>
      </c>
      <c r="K25" s="100">
        <v>0</v>
      </c>
      <c r="L25" s="100">
        <v>0</v>
      </c>
      <c r="M25" s="100">
        <v>0</v>
      </c>
      <c r="N25" s="100">
        <v>0</v>
      </c>
      <c r="O25" s="100">
        <v>0</v>
      </c>
      <c r="P25" s="189">
        <v>0</v>
      </c>
      <c r="Q25" s="138">
        <v>0</v>
      </c>
      <c r="R25" s="139">
        <v>0.04</v>
      </c>
      <c r="S25" s="140">
        <f t="shared" si="0"/>
        <v>0</v>
      </c>
      <c r="T25" s="140">
        <f t="shared" si="1"/>
        <v>0</v>
      </c>
      <c r="U25" s="140">
        <f t="shared" si="2"/>
        <v>0</v>
      </c>
      <c r="V25" s="140">
        <f t="shared" si="3"/>
        <v>0</v>
      </c>
      <c r="W25" s="140">
        <f t="shared" si="4"/>
        <v>0</v>
      </c>
      <c r="X25" s="140">
        <f t="shared" si="5"/>
        <v>0</v>
      </c>
      <c r="Y25" s="140">
        <f t="shared" si="6"/>
        <v>0</v>
      </c>
      <c r="Z25" s="141">
        <f t="shared" si="7"/>
        <v>0</v>
      </c>
      <c r="AA25" s="427">
        <f>SUM(Z25:Z26)</f>
        <v>413897668.85376</v>
      </c>
      <c r="AB25" s="486" t="s">
        <v>662</v>
      </c>
    </row>
    <row r="26" spans="1:28" s="16" customFormat="1" ht="105.75" customHeight="1">
      <c r="A26" s="453"/>
      <c r="B26" s="530"/>
      <c r="C26" s="100" t="s">
        <v>784</v>
      </c>
      <c r="D26" s="549"/>
      <c r="E26" s="100" t="s">
        <v>37</v>
      </c>
      <c r="F26" s="341" t="s">
        <v>276</v>
      </c>
      <c r="G26" s="100" t="s">
        <v>34</v>
      </c>
      <c r="H26" s="100" t="s">
        <v>159</v>
      </c>
      <c r="I26" s="100" t="s">
        <v>277</v>
      </c>
      <c r="J26" s="100">
        <v>0</v>
      </c>
      <c r="K26" s="30">
        <v>1</v>
      </c>
      <c r="L26" s="30">
        <v>1</v>
      </c>
      <c r="M26" s="30">
        <v>1</v>
      </c>
      <c r="N26" s="30">
        <v>1</v>
      </c>
      <c r="O26" s="30">
        <v>1</v>
      </c>
      <c r="P26" s="190">
        <v>1</v>
      </c>
      <c r="Q26" s="142">
        <v>60000000</v>
      </c>
      <c r="R26" s="139">
        <v>0.04</v>
      </c>
      <c r="S26" s="140">
        <f t="shared" si="0"/>
        <v>0</v>
      </c>
      <c r="T26" s="140">
        <f t="shared" si="1"/>
        <v>62400000</v>
      </c>
      <c r="U26" s="140">
        <f t="shared" si="2"/>
        <v>64896000</v>
      </c>
      <c r="V26" s="140">
        <f t="shared" si="3"/>
        <v>67491840</v>
      </c>
      <c r="W26" s="140">
        <f t="shared" si="4"/>
        <v>70191513.600000009</v>
      </c>
      <c r="X26" s="140">
        <f t="shared" si="5"/>
        <v>72999174.144000009</v>
      </c>
      <c r="Y26" s="140">
        <f t="shared" si="6"/>
        <v>75919141.109760016</v>
      </c>
      <c r="Z26" s="141">
        <f t="shared" si="7"/>
        <v>413897668.85376</v>
      </c>
      <c r="AA26" s="427"/>
      <c r="AB26" s="485"/>
    </row>
    <row r="27" spans="1:28" s="16" customFormat="1" ht="87" customHeight="1" thickBot="1">
      <c r="A27" s="458"/>
      <c r="B27" s="367" t="s">
        <v>278</v>
      </c>
      <c r="C27" s="102" t="s">
        <v>775</v>
      </c>
      <c r="D27" s="102" t="s">
        <v>537</v>
      </c>
      <c r="E27" s="102" t="s">
        <v>54</v>
      </c>
      <c r="F27" s="367" t="s">
        <v>512</v>
      </c>
      <c r="G27" s="102" t="s">
        <v>34</v>
      </c>
      <c r="H27" s="102" t="s">
        <v>35</v>
      </c>
      <c r="I27" s="102" t="s">
        <v>279</v>
      </c>
      <c r="J27" s="102">
        <v>3</v>
      </c>
      <c r="K27" s="102">
        <v>3</v>
      </c>
      <c r="L27" s="102">
        <v>3</v>
      </c>
      <c r="M27" s="102">
        <v>4</v>
      </c>
      <c r="N27" s="102">
        <v>4</v>
      </c>
      <c r="O27" s="102">
        <v>4</v>
      </c>
      <c r="P27" s="197">
        <v>4</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7"/>
        <v>0</v>
      </c>
      <c r="AA27" s="272">
        <f>Z27</f>
        <v>0</v>
      </c>
      <c r="AB27" s="266" t="s">
        <v>673</v>
      </c>
    </row>
    <row r="28" spans="1:28">
      <c r="A28" s="16"/>
      <c r="B28" s="16"/>
      <c r="C28" s="16"/>
      <c r="D28" s="16"/>
      <c r="E28" s="16"/>
      <c r="F28" s="16"/>
      <c r="G28" s="16"/>
      <c r="H28" s="16"/>
      <c r="I28" s="16"/>
      <c r="J28" s="16"/>
      <c r="K28" s="16"/>
      <c r="L28" s="16"/>
      <c r="M28" s="16"/>
      <c r="N28" s="16"/>
      <c r="O28" s="16"/>
      <c r="P28" s="16"/>
    </row>
    <row r="29" spans="1:28">
      <c r="A29" s="452"/>
      <c r="B29" s="452"/>
      <c r="C29" s="452"/>
      <c r="D29" s="452"/>
      <c r="E29" s="452"/>
      <c r="F29" s="452"/>
      <c r="G29" s="452"/>
      <c r="H29" s="452"/>
      <c r="I29" s="452"/>
      <c r="J29" s="452"/>
      <c r="K29" s="452"/>
      <c r="L29" s="452"/>
      <c r="M29" s="452"/>
      <c r="N29" s="452"/>
      <c r="O29" s="452"/>
      <c r="P29" s="452"/>
    </row>
  </sheetData>
  <sheetProtection algorithmName="SHA-512" hashValue="q+VT0qC4EYfPoRj5TsTrcP51mQZ2dRDuwbm/FrmqnqdRcTNRLERNCVphu2/fmQC0D45Pk6JYhfQ4V03SSDkX1Q==" saltValue="39rQ9/gOpwqduZgJqqS4gQ==" spinCount="100000" sheet="1" objects="1" scenarios="1"/>
  <mergeCells count="42">
    <mergeCell ref="AB25:AB26"/>
    <mergeCell ref="AB9:AB10"/>
    <mergeCell ref="AB14:AB15"/>
    <mergeCell ref="AB16:AB24"/>
    <mergeCell ref="AB3:AB4"/>
    <mergeCell ref="AA9:AA10"/>
    <mergeCell ref="AA14:AA15"/>
    <mergeCell ref="AA16:AA24"/>
    <mergeCell ref="AA25:AA26"/>
    <mergeCell ref="Q3:Q4"/>
    <mergeCell ref="R3:R4"/>
    <mergeCell ref="S3:Y3"/>
    <mergeCell ref="Z3:Z4"/>
    <mergeCell ref="AA3:AA4"/>
    <mergeCell ref="A29:P29"/>
    <mergeCell ref="F3:F4"/>
    <mergeCell ref="G3:G4"/>
    <mergeCell ref="H3:H4"/>
    <mergeCell ref="I3:I4"/>
    <mergeCell ref="A5:A6"/>
    <mergeCell ref="A9:A12"/>
    <mergeCell ref="B9:B10"/>
    <mergeCell ref="C9:C10"/>
    <mergeCell ref="A16:A27"/>
    <mergeCell ref="B16:B24"/>
    <mergeCell ref="B25:B26"/>
    <mergeCell ref="D16:D24"/>
    <mergeCell ref="D25:D26"/>
    <mergeCell ref="A1:P1"/>
    <mergeCell ref="B3:B4"/>
    <mergeCell ref="A13:A15"/>
    <mergeCell ref="B14:B15"/>
    <mergeCell ref="C14:C15"/>
    <mergeCell ref="A7:A8"/>
    <mergeCell ref="A3:A4"/>
    <mergeCell ref="J3:P3"/>
    <mergeCell ref="C3:C4"/>
    <mergeCell ref="D3:D4"/>
    <mergeCell ref="E3:E4"/>
    <mergeCell ref="D14:D15"/>
    <mergeCell ref="A2:P2"/>
    <mergeCell ref="D9:D10"/>
  </mergeCells>
  <pageMargins left="0.7" right="0.7" top="0.75" bottom="0.75" header="0.3" footer="0.3"/>
  <pageSetup orientation="portrait" horizontalDpi="1200" verticalDpi="1200" r:id="rId1"/>
  <ignoredErrors>
    <ignoredError sqref="Z27 AA9:AA12 Z10:Z11 Z5:AA5 AA13:AA16 Z12 Z13 Z14 Z15 Z16 Z17 Z18 Z19 Z20 Z21 Z22 Z23 Z24 Z25 Z26 T5:Y5 T10:Y11 T13:Y13 T15:Y15 T17:Y22 T23:Y24"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E5:E27</xm:sqref>
        </x14:dataValidation>
        <x14:dataValidation type="list" allowBlank="1" showInputMessage="1" showErrorMessage="1">
          <x14:formula1>
            <xm:f>Hoja2!$C$15:$C$17</xm:f>
          </x14:formula1>
          <xm:sqref>G5:G27</xm:sqref>
        </x14:dataValidation>
        <x14:dataValidation type="list" allowBlank="1" showInputMessage="1" showErrorMessage="1">
          <x14:formula1>
            <xm:f>Hoja2!$E$15:$E$26</xm:f>
          </x14:formula1>
          <xm:sqref>AB5:AB27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
  <sheetViews>
    <sheetView zoomScale="80" zoomScaleNormal="80" zoomScalePageLayoutView="50" workbookViewId="0">
      <selection activeCell="F15" sqref="F15"/>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19.375" customWidth="1"/>
    <col min="9" max="9" width="28.375" style="70"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6.5" thickBot="1">
      <c r="A2" s="464"/>
      <c r="B2" s="464"/>
      <c r="C2" s="464"/>
      <c r="D2" s="464"/>
      <c r="E2" s="464"/>
      <c r="F2" s="464"/>
      <c r="G2" s="464"/>
      <c r="H2" s="464"/>
      <c r="I2" s="464"/>
      <c r="J2" s="464"/>
      <c r="K2" s="464"/>
      <c r="L2" s="464"/>
      <c r="M2" s="464"/>
      <c r="N2" s="464"/>
      <c r="O2" s="464"/>
      <c r="P2" s="465"/>
      <c r="R2" s="324">
        <f>R5+1</f>
        <v>1.04</v>
      </c>
    </row>
    <row r="3" spans="1:28" ht="22.5" customHeight="1">
      <c r="A3" s="479" t="s">
        <v>20</v>
      </c>
      <c r="B3" s="472" t="s">
        <v>21</v>
      </c>
      <c r="C3" s="472" t="s">
        <v>22</v>
      </c>
      <c r="D3" s="472" t="s">
        <v>23</v>
      </c>
      <c r="E3" s="472" t="s">
        <v>24</v>
      </c>
      <c r="F3" s="472" t="s">
        <v>25</v>
      </c>
      <c r="G3" s="472" t="s">
        <v>26</v>
      </c>
      <c r="H3" s="472" t="s">
        <v>475</v>
      </c>
      <c r="I3" s="472" t="s">
        <v>27</v>
      </c>
      <c r="J3" s="551" t="s">
        <v>28</v>
      </c>
      <c r="K3" s="552"/>
      <c r="L3" s="552"/>
      <c r="M3" s="552"/>
      <c r="N3" s="552"/>
      <c r="O3" s="552"/>
      <c r="P3" s="553"/>
      <c r="Q3" s="487" t="s">
        <v>570</v>
      </c>
      <c r="R3" s="489" t="s">
        <v>571</v>
      </c>
      <c r="S3" s="491" t="s">
        <v>572</v>
      </c>
      <c r="T3" s="491"/>
      <c r="U3" s="491"/>
      <c r="V3" s="491"/>
      <c r="W3" s="491"/>
      <c r="X3" s="491"/>
      <c r="Y3" s="500"/>
      <c r="Z3" s="492" t="s">
        <v>573</v>
      </c>
      <c r="AA3" s="502" t="s">
        <v>574</v>
      </c>
      <c r="AB3" s="515" t="s">
        <v>634</v>
      </c>
    </row>
    <row r="4" spans="1:28" ht="22.5" customHeight="1" thickBot="1">
      <c r="A4" s="554"/>
      <c r="B4" s="473"/>
      <c r="C4" s="473"/>
      <c r="D4" s="473"/>
      <c r="E4" s="473"/>
      <c r="F4" s="473"/>
      <c r="G4" s="473"/>
      <c r="H4" s="473"/>
      <c r="I4" s="473"/>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59.25" customHeight="1">
      <c r="A5" s="519" t="s">
        <v>281</v>
      </c>
      <c r="B5" s="504" t="s">
        <v>282</v>
      </c>
      <c r="C5" s="506" t="s">
        <v>283</v>
      </c>
      <c r="D5" s="527" t="s">
        <v>556</v>
      </c>
      <c r="E5" s="96" t="s">
        <v>37</v>
      </c>
      <c r="F5" s="368" t="s">
        <v>517</v>
      </c>
      <c r="G5" s="20" t="s">
        <v>35</v>
      </c>
      <c r="H5" s="99" t="s">
        <v>35</v>
      </c>
      <c r="I5" s="20">
        <v>0</v>
      </c>
      <c r="J5" s="96">
        <v>1</v>
      </c>
      <c r="K5" s="96">
        <v>0</v>
      </c>
      <c r="L5" s="250">
        <v>0</v>
      </c>
      <c r="M5" s="250">
        <v>0</v>
      </c>
      <c r="N5" s="250">
        <v>0</v>
      </c>
      <c r="O5" s="250">
        <v>0</v>
      </c>
      <c r="P5" s="166">
        <v>0</v>
      </c>
      <c r="Q5" s="135">
        <v>0</v>
      </c>
      <c r="R5" s="136">
        <v>0.04</v>
      </c>
      <c r="S5" s="140">
        <f t="shared" ref="S5:S17" si="0">IF(J5&lt;&gt;0,Q5,0)</f>
        <v>0</v>
      </c>
      <c r="T5" s="140">
        <f t="shared" ref="T5:T17" si="1">IF(K5&lt;&gt;0,(IF(S5&lt;&gt;0,(S5*$R$2),($Q5*$R$2))),0)</f>
        <v>0</v>
      </c>
      <c r="U5" s="140">
        <f t="shared" ref="U5:U17" si="2">IF(L5&lt;&gt;0,(IF(T5&lt;&gt;0,(T5*$R$2),(($Q5*$R$2)*$R$2))),0)</f>
        <v>0</v>
      </c>
      <c r="V5" s="140">
        <f t="shared" ref="V5:V17" si="3">IF(M5&lt;&gt;0,(IF(U5&lt;&gt;0,(U5*$R$2),(($Q5*$R$2)*$R$2*$R$2))),0)</f>
        <v>0</v>
      </c>
      <c r="W5" s="140">
        <f t="shared" ref="W5:W17" si="4">IF(N5&lt;&gt;0,(IF(V5&lt;&gt;0,(V5*$R$2),(($Q5*$R$2)*$R$2*$R$2*$R$2))),0)</f>
        <v>0</v>
      </c>
      <c r="X5" s="140">
        <f t="shared" ref="X5:X17" si="5">IF(O5&lt;&gt;0,(IF(W5&lt;&gt;0,(W5*$R$2),(($Q5*$R$2)*$R$2*$R$2*$R$2*$R$2))),0)</f>
        <v>0</v>
      </c>
      <c r="Y5" s="140">
        <f t="shared" ref="Y5:Y17" si="6">IF(P5&lt;&gt;0,(IF(X5&lt;&gt;0,(X5*$R$2),(($Q5*$R$2)*$R$2*$R$2*$R$2*$R$2*$R$2))),0)</f>
        <v>0</v>
      </c>
      <c r="Z5" s="137">
        <f>SUM(S5:Y5)</f>
        <v>0</v>
      </c>
      <c r="AA5" s="494">
        <f>SUM(Z5:Z6)</f>
        <v>0</v>
      </c>
      <c r="AB5" s="556" t="s">
        <v>673</v>
      </c>
    </row>
    <row r="6" spans="1:28" s="16" customFormat="1" ht="90.75" customHeight="1">
      <c r="A6" s="521"/>
      <c r="B6" s="505"/>
      <c r="C6" s="507"/>
      <c r="D6" s="523"/>
      <c r="E6" s="94" t="s">
        <v>54</v>
      </c>
      <c r="F6" s="343" t="s">
        <v>726</v>
      </c>
      <c r="G6" s="100" t="s">
        <v>34</v>
      </c>
      <c r="H6" s="100" t="s">
        <v>159</v>
      </c>
      <c r="I6" s="37" t="s">
        <v>432</v>
      </c>
      <c r="J6" s="100">
        <v>0</v>
      </c>
      <c r="K6" s="30">
        <v>0.3</v>
      </c>
      <c r="L6" s="30">
        <v>0.6</v>
      </c>
      <c r="M6" s="30">
        <v>1</v>
      </c>
      <c r="N6" s="30">
        <v>1</v>
      </c>
      <c r="O6" s="30">
        <v>1</v>
      </c>
      <c r="P6" s="190">
        <v>1</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5" si="7">SUM(S6:Y6)</f>
        <v>0</v>
      </c>
      <c r="AA6" s="427"/>
      <c r="AB6" s="556"/>
    </row>
    <row r="7" spans="1:28" s="16" customFormat="1" ht="124.5" customHeight="1">
      <c r="A7" s="521"/>
      <c r="B7" s="505" t="s">
        <v>284</v>
      </c>
      <c r="C7" s="507" t="s">
        <v>800</v>
      </c>
      <c r="D7" s="510" t="s">
        <v>557</v>
      </c>
      <c r="E7" s="97" t="s">
        <v>37</v>
      </c>
      <c r="F7" s="344" t="s">
        <v>285</v>
      </c>
      <c r="G7" s="97" t="s">
        <v>35</v>
      </c>
      <c r="H7" s="100" t="s">
        <v>35</v>
      </c>
      <c r="I7" s="57" t="s">
        <v>286</v>
      </c>
      <c r="J7" s="97">
        <v>1</v>
      </c>
      <c r="K7" s="97">
        <v>0</v>
      </c>
      <c r="L7" s="251">
        <v>0</v>
      </c>
      <c r="M7" s="251">
        <v>0</v>
      </c>
      <c r="N7" s="251">
        <v>0</v>
      </c>
      <c r="O7" s="251">
        <v>0</v>
      </c>
      <c r="P7" s="169">
        <v>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27">
        <f>SUM(Z7:Z8)</f>
        <v>551863558.47167993</v>
      </c>
      <c r="AB7" s="556" t="s">
        <v>659</v>
      </c>
    </row>
    <row r="8" spans="1:28" s="16" customFormat="1" ht="79.5" customHeight="1" thickBot="1">
      <c r="A8" s="520"/>
      <c r="B8" s="512"/>
      <c r="C8" s="510"/>
      <c r="D8" s="511"/>
      <c r="E8" s="103" t="s">
        <v>54</v>
      </c>
      <c r="F8" s="345" t="s">
        <v>433</v>
      </c>
      <c r="G8" s="101" t="s">
        <v>35</v>
      </c>
      <c r="H8" s="101" t="s">
        <v>159</v>
      </c>
      <c r="I8" s="71" t="s">
        <v>287</v>
      </c>
      <c r="J8" s="101">
        <v>0</v>
      </c>
      <c r="K8" s="72">
        <v>0.5</v>
      </c>
      <c r="L8" s="72">
        <v>1</v>
      </c>
      <c r="M8" s="72">
        <v>1</v>
      </c>
      <c r="N8" s="72">
        <v>1</v>
      </c>
      <c r="O8" s="72">
        <v>1</v>
      </c>
      <c r="P8" s="204">
        <v>1</v>
      </c>
      <c r="Q8" s="143">
        <v>80000000</v>
      </c>
      <c r="R8" s="144">
        <v>0.04</v>
      </c>
      <c r="S8" s="147">
        <f t="shared" si="0"/>
        <v>0</v>
      </c>
      <c r="T8" s="147">
        <f t="shared" si="1"/>
        <v>83200000</v>
      </c>
      <c r="U8" s="147">
        <f t="shared" si="2"/>
        <v>86528000</v>
      </c>
      <c r="V8" s="147">
        <f t="shared" si="3"/>
        <v>89989120</v>
      </c>
      <c r="W8" s="147">
        <f t="shared" si="4"/>
        <v>93588684.799999997</v>
      </c>
      <c r="X8" s="147">
        <f t="shared" si="5"/>
        <v>97332232.192000002</v>
      </c>
      <c r="Y8" s="147">
        <f t="shared" si="6"/>
        <v>101225521.47968</v>
      </c>
      <c r="Z8" s="145">
        <f t="shared" si="7"/>
        <v>551863558.47167993</v>
      </c>
      <c r="AA8" s="497"/>
      <c r="AB8" s="557"/>
    </row>
    <row r="9" spans="1:28" s="16" customFormat="1" ht="67.5" customHeight="1">
      <c r="A9" s="519" t="s">
        <v>288</v>
      </c>
      <c r="B9" s="504" t="s">
        <v>698</v>
      </c>
      <c r="C9" s="96" t="s">
        <v>261</v>
      </c>
      <c r="D9" s="527" t="s">
        <v>553</v>
      </c>
      <c r="E9" s="96" t="s">
        <v>54</v>
      </c>
      <c r="F9" s="356" t="s">
        <v>788</v>
      </c>
      <c r="G9" s="96" t="s">
        <v>34</v>
      </c>
      <c r="H9" s="99" t="s">
        <v>35</v>
      </c>
      <c r="I9" s="96" t="s">
        <v>289</v>
      </c>
      <c r="J9" s="6">
        <v>0.04</v>
      </c>
      <c r="K9" s="55">
        <v>4.4999999999999998E-2</v>
      </c>
      <c r="L9" s="6">
        <v>0.05</v>
      </c>
      <c r="M9" s="55">
        <v>5.5E-2</v>
      </c>
      <c r="N9" s="6">
        <v>0.06</v>
      </c>
      <c r="O9" s="55">
        <v>6.5000000000000002E-2</v>
      </c>
      <c r="P9" s="151">
        <v>7.0000000000000007E-2</v>
      </c>
      <c r="Q9" s="135">
        <v>0</v>
      </c>
      <c r="R9" s="136">
        <v>0.04</v>
      </c>
      <c r="S9" s="175">
        <f t="shared" si="0"/>
        <v>0</v>
      </c>
      <c r="T9" s="175">
        <f t="shared" si="1"/>
        <v>0</v>
      </c>
      <c r="U9" s="175">
        <f t="shared" si="2"/>
        <v>0</v>
      </c>
      <c r="V9" s="175">
        <f t="shared" si="3"/>
        <v>0</v>
      </c>
      <c r="W9" s="175">
        <f t="shared" si="4"/>
        <v>0</v>
      </c>
      <c r="X9" s="175">
        <f t="shared" si="5"/>
        <v>0</v>
      </c>
      <c r="Y9" s="175">
        <f t="shared" si="6"/>
        <v>0</v>
      </c>
      <c r="Z9" s="137">
        <f t="shared" si="7"/>
        <v>0</v>
      </c>
      <c r="AA9" s="494">
        <f>SUM(Z9:Z11)</f>
        <v>0</v>
      </c>
      <c r="AB9" s="485" t="s">
        <v>673</v>
      </c>
    </row>
    <row r="10" spans="1:28" s="16" customFormat="1" ht="89.25" customHeight="1">
      <c r="A10" s="521"/>
      <c r="B10" s="505"/>
      <c r="C10" s="97" t="s">
        <v>801</v>
      </c>
      <c r="D10" s="528"/>
      <c r="E10" s="97" t="s">
        <v>54</v>
      </c>
      <c r="F10" s="344" t="s">
        <v>434</v>
      </c>
      <c r="G10" s="97" t="s">
        <v>35</v>
      </c>
      <c r="H10" s="100" t="s">
        <v>35</v>
      </c>
      <c r="I10" s="97" t="s">
        <v>435</v>
      </c>
      <c r="J10" s="18">
        <v>0.01</v>
      </c>
      <c r="K10" s="58">
        <v>2.5000000000000001E-2</v>
      </c>
      <c r="L10" s="18">
        <v>0.03</v>
      </c>
      <c r="M10" s="58">
        <v>3.5000000000000003E-2</v>
      </c>
      <c r="N10" s="18">
        <v>0.04</v>
      </c>
      <c r="O10" s="58">
        <v>4.4999999999999998E-2</v>
      </c>
      <c r="P10" s="153">
        <v>0.05</v>
      </c>
      <c r="Q10" s="142">
        <v>0</v>
      </c>
      <c r="R10" s="139">
        <v>0.04</v>
      </c>
      <c r="S10" s="140">
        <f t="shared" si="0"/>
        <v>0</v>
      </c>
      <c r="T10" s="140">
        <f t="shared" si="1"/>
        <v>0</v>
      </c>
      <c r="U10" s="140">
        <f t="shared" si="2"/>
        <v>0</v>
      </c>
      <c r="V10" s="140">
        <f t="shared" si="3"/>
        <v>0</v>
      </c>
      <c r="W10" s="140">
        <f t="shared" si="4"/>
        <v>0</v>
      </c>
      <c r="X10" s="140">
        <f t="shared" si="5"/>
        <v>0</v>
      </c>
      <c r="Y10" s="140">
        <f t="shared" si="6"/>
        <v>0</v>
      </c>
      <c r="Z10" s="141">
        <f t="shared" si="7"/>
        <v>0</v>
      </c>
      <c r="AA10" s="427"/>
      <c r="AB10" s="556"/>
    </row>
    <row r="11" spans="1:28" s="16" customFormat="1" ht="85.5" customHeight="1">
      <c r="A11" s="521"/>
      <c r="B11" s="505"/>
      <c r="C11" s="97" t="s">
        <v>290</v>
      </c>
      <c r="D11" s="523"/>
      <c r="E11" s="97" t="s">
        <v>54</v>
      </c>
      <c r="F11" s="341" t="s">
        <v>727</v>
      </c>
      <c r="G11" s="100" t="s">
        <v>34</v>
      </c>
      <c r="H11" s="100" t="s">
        <v>35</v>
      </c>
      <c r="I11" s="37" t="s">
        <v>291</v>
      </c>
      <c r="J11" s="30">
        <v>0.01</v>
      </c>
      <c r="K11" s="30">
        <v>0.02</v>
      </c>
      <c r="L11" s="30">
        <v>0.03</v>
      </c>
      <c r="M11" s="30">
        <v>0.04</v>
      </c>
      <c r="N11" s="30">
        <v>0.05</v>
      </c>
      <c r="O11" s="30">
        <v>0.06</v>
      </c>
      <c r="P11" s="190">
        <v>7.0000000000000007E-2</v>
      </c>
      <c r="Q11" s="138">
        <v>0</v>
      </c>
      <c r="R11" s="139">
        <v>0.04</v>
      </c>
      <c r="S11" s="140">
        <f t="shared" si="0"/>
        <v>0</v>
      </c>
      <c r="T11" s="140">
        <f t="shared" si="1"/>
        <v>0</v>
      </c>
      <c r="U11" s="140">
        <f t="shared" si="2"/>
        <v>0</v>
      </c>
      <c r="V11" s="140">
        <f t="shared" si="3"/>
        <v>0</v>
      </c>
      <c r="W11" s="140">
        <f t="shared" si="4"/>
        <v>0</v>
      </c>
      <c r="X11" s="140">
        <f t="shared" si="5"/>
        <v>0</v>
      </c>
      <c r="Y11" s="140">
        <f t="shared" si="6"/>
        <v>0</v>
      </c>
      <c r="Z11" s="141">
        <f t="shared" si="7"/>
        <v>0</v>
      </c>
      <c r="AA11" s="427"/>
      <c r="AB11" s="556"/>
    </row>
    <row r="12" spans="1:28" s="16" customFormat="1" ht="69" customHeight="1">
      <c r="A12" s="521"/>
      <c r="B12" s="505" t="s">
        <v>787</v>
      </c>
      <c r="C12" s="97" t="s">
        <v>802</v>
      </c>
      <c r="D12" s="510" t="s">
        <v>543</v>
      </c>
      <c r="E12" s="97" t="s">
        <v>37</v>
      </c>
      <c r="F12" s="344" t="s">
        <v>436</v>
      </c>
      <c r="G12" s="97" t="s">
        <v>35</v>
      </c>
      <c r="H12" s="100" t="s">
        <v>35</v>
      </c>
      <c r="I12" s="97" t="s">
        <v>292</v>
      </c>
      <c r="J12" s="97">
        <v>1</v>
      </c>
      <c r="K12" s="97">
        <v>0</v>
      </c>
      <c r="L12" s="251">
        <v>0</v>
      </c>
      <c r="M12" s="251">
        <v>0</v>
      </c>
      <c r="N12" s="251">
        <v>0</v>
      </c>
      <c r="O12" s="251">
        <v>0</v>
      </c>
      <c r="P12" s="169">
        <v>0</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27">
        <f>SUM(Z12:Z13)</f>
        <v>0</v>
      </c>
      <c r="AB12" s="556" t="s">
        <v>673</v>
      </c>
    </row>
    <row r="13" spans="1:28" s="16" customFormat="1" ht="87.75" customHeight="1">
      <c r="A13" s="521"/>
      <c r="B13" s="505"/>
      <c r="C13" s="97" t="s">
        <v>516</v>
      </c>
      <c r="D13" s="523"/>
      <c r="E13" s="97" t="s">
        <v>37</v>
      </c>
      <c r="F13" s="344" t="s">
        <v>669</v>
      </c>
      <c r="G13" s="306" t="s">
        <v>35</v>
      </c>
      <c r="H13" s="307" t="s">
        <v>35</v>
      </c>
      <c r="I13" s="306" t="s">
        <v>437</v>
      </c>
      <c r="J13" s="306">
        <v>0</v>
      </c>
      <c r="K13" s="306">
        <v>2</v>
      </c>
      <c r="L13" s="306">
        <v>2</v>
      </c>
      <c r="M13" s="306">
        <v>2</v>
      </c>
      <c r="N13" s="306">
        <v>2</v>
      </c>
      <c r="O13" s="306">
        <v>2</v>
      </c>
      <c r="P13" s="169">
        <v>2</v>
      </c>
      <c r="Q13" s="138">
        <v>0</v>
      </c>
      <c r="R13" s="139">
        <v>0.04</v>
      </c>
      <c r="S13" s="140">
        <f t="shared" si="0"/>
        <v>0</v>
      </c>
      <c r="T13" s="140">
        <f t="shared" si="1"/>
        <v>0</v>
      </c>
      <c r="U13" s="140">
        <f t="shared" si="2"/>
        <v>0</v>
      </c>
      <c r="V13" s="140">
        <f t="shared" si="3"/>
        <v>0</v>
      </c>
      <c r="W13" s="140">
        <f t="shared" si="4"/>
        <v>0</v>
      </c>
      <c r="X13" s="140">
        <f t="shared" si="5"/>
        <v>0</v>
      </c>
      <c r="Y13" s="140">
        <f t="shared" si="6"/>
        <v>0</v>
      </c>
      <c r="Z13" s="141">
        <f t="shared" si="7"/>
        <v>0</v>
      </c>
      <c r="AA13" s="427"/>
      <c r="AB13" s="556"/>
    </row>
    <row r="14" spans="1:28" s="16" customFormat="1" ht="72.75" customHeight="1">
      <c r="A14" s="521"/>
      <c r="B14" s="505" t="s">
        <v>786</v>
      </c>
      <c r="C14" s="97" t="s">
        <v>803</v>
      </c>
      <c r="D14" s="510" t="s">
        <v>541</v>
      </c>
      <c r="E14" s="97" t="s">
        <v>37</v>
      </c>
      <c r="F14" s="344" t="s">
        <v>518</v>
      </c>
      <c r="G14" s="97" t="s">
        <v>34</v>
      </c>
      <c r="H14" s="100" t="s">
        <v>35</v>
      </c>
      <c r="I14" s="57" t="s">
        <v>438</v>
      </c>
      <c r="J14" s="97">
        <v>2</v>
      </c>
      <c r="K14" s="97">
        <v>2</v>
      </c>
      <c r="L14" s="97">
        <v>2</v>
      </c>
      <c r="M14" s="97">
        <v>2</v>
      </c>
      <c r="N14" s="97">
        <v>2</v>
      </c>
      <c r="O14" s="97">
        <v>2</v>
      </c>
      <c r="P14" s="169">
        <v>2</v>
      </c>
      <c r="Q14" s="138">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427">
        <f>SUM(Z14:Z15)</f>
        <v>394914724.04480004</v>
      </c>
      <c r="AB14" s="556" t="s">
        <v>662</v>
      </c>
    </row>
    <row r="15" spans="1:28" s="16" customFormat="1" ht="75.75" customHeight="1" thickBot="1">
      <c r="A15" s="520"/>
      <c r="B15" s="512"/>
      <c r="C15" s="95" t="s">
        <v>293</v>
      </c>
      <c r="D15" s="511"/>
      <c r="E15" s="95" t="s">
        <v>37</v>
      </c>
      <c r="F15" s="369" t="s">
        <v>294</v>
      </c>
      <c r="G15" s="95" t="s">
        <v>35</v>
      </c>
      <c r="H15" s="101" t="s">
        <v>35</v>
      </c>
      <c r="I15" s="56" t="s">
        <v>295</v>
      </c>
      <c r="J15" s="95">
        <v>1</v>
      </c>
      <c r="K15" s="95">
        <v>1</v>
      </c>
      <c r="L15" s="95">
        <v>1</v>
      </c>
      <c r="M15" s="95">
        <v>1</v>
      </c>
      <c r="N15" s="95">
        <v>1</v>
      </c>
      <c r="O15" s="95">
        <v>1</v>
      </c>
      <c r="P15" s="161">
        <v>1</v>
      </c>
      <c r="Q15" s="143">
        <v>50000000</v>
      </c>
      <c r="R15" s="144">
        <v>0.04</v>
      </c>
      <c r="S15" s="147">
        <f t="shared" si="0"/>
        <v>50000000</v>
      </c>
      <c r="T15" s="147">
        <f t="shared" si="1"/>
        <v>52000000</v>
      </c>
      <c r="U15" s="147">
        <f t="shared" si="2"/>
        <v>54080000</v>
      </c>
      <c r="V15" s="147">
        <f t="shared" si="3"/>
        <v>56243200</v>
      </c>
      <c r="W15" s="147">
        <f t="shared" si="4"/>
        <v>58492928</v>
      </c>
      <c r="X15" s="147">
        <f t="shared" si="5"/>
        <v>60832645.120000005</v>
      </c>
      <c r="Y15" s="147">
        <f t="shared" si="6"/>
        <v>63265950.924800009</v>
      </c>
      <c r="Z15" s="145">
        <f t="shared" si="7"/>
        <v>394914724.04480004</v>
      </c>
      <c r="AA15" s="497"/>
      <c r="AB15" s="557"/>
    </row>
    <row r="16" spans="1:28" s="16" customFormat="1" ht="70.5" customHeight="1">
      <c r="A16" s="519" t="s">
        <v>296</v>
      </c>
      <c r="B16" s="529" t="s">
        <v>699</v>
      </c>
      <c r="C16" s="531" t="s">
        <v>297</v>
      </c>
      <c r="D16" s="547" t="s">
        <v>557</v>
      </c>
      <c r="E16" s="99" t="s">
        <v>37</v>
      </c>
      <c r="F16" s="363" t="s">
        <v>519</v>
      </c>
      <c r="G16" s="99" t="s">
        <v>35</v>
      </c>
      <c r="H16" s="99" t="s">
        <v>35</v>
      </c>
      <c r="I16" s="59">
        <v>0</v>
      </c>
      <c r="J16" s="96">
        <v>1</v>
      </c>
      <c r="K16" s="96">
        <v>0</v>
      </c>
      <c r="L16" s="250">
        <v>0</v>
      </c>
      <c r="M16" s="250">
        <v>0</v>
      </c>
      <c r="N16" s="250">
        <v>0</v>
      </c>
      <c r="O16" s="250">
        <v>0</v>
      </c>
      <c r="P16" s="166">
        <v>0</v>
      </c>
      <c r="Q16" s="135">
        <v>0</v>
      </c>
      <c r="R16" s="136">
        <v>0.04</v>
      </c>
      <c r="S16" s="175">
        <f t="shared" si="0"/>
        <v>0</v>
      </c>
      <c r="T16" s="175">
        <f t="shared" si="1"/>
        <v>0</v>
      </c>
      <c r="U16" s="175">
        <f t="shared" si="2"/>
        <v>0</v>
      </c>
      <c r="V16" s="175">
        <f t="shared" si="3"/>
        <v>0</v>
      </c>
      <c r="W16" s="175">
        <f t="shared" si="4"/>
        <v>0</v>
      </c>
      <c r="X16" s="175">
        <f t="shared" si="5"/>
        <v>0</v>
      </c>
      <c r="Y16" s="175">
        <f t="shared" si="6"/>
        <v>0</v>
      </c>
      <c r="Z16" s="137">
        <f>SUM(S16:Y16)</f>
        <v>0</v>
      </c>
      <c r="AA16" s="445">
        <f>SUM(Z16:Z17)</f>
        <v>0</v>
      </c>
      <c r="AB16" s="485" t="s">
        <v>673</v>
      </c>
    </row>
    <row r="17" spans="1:28" s="16" customFormat="1" ht="90" customHeight="1" thickBot="1">
      <c r="A17" s="522"/>
      <c r="B17" s="545"/>
      <c r="C17" s="546"/>
      <c r="D17" s="555"/>
      <c r="E17" s="102" t="s">
        <v>54</v>
      </c>
      <c r="F17" s="367" t="s">
        <v>520</v>
      </c>
      <c r="G17" s="308" t="s">
        <v>35</v>
      </c>
      <c r="H17" s="308" t="s">
        <v>159</v>
      </c>
      <c r="I17" s="308" t="s">
        <v>298</v>
      </c>
      <c r="J17" s="308">
        <v>0</v>
      </c>
      <c r="K17" s="29">
        <v>0.1</v>
      </c>
      <c r="L17" s="29">
        <v>0.2</v>
      </c>
      <c r="M17" s="29">
        <v>0.4</v>
      </c>
      <c r="N17" s="29">
        <v>0.6</v>
      </c>
      <c r="O17" s="29">
        <v>0.8</v>
      </c>
      <c r="P17" s="208">
        <v>1</v>
      </c>
      <c r="Q17" s="177">
        <v>0</v>
      </c>
      <c r="R17" s="146">
        <v>0.04</v>
      </c>
      <c r="S17" s="147">
        <f t="shared" si="0"/>
        <v>0</v>
      </c>
      <c r="T17" s="147">
        <f t="shared" si="1"/>
        <v>0</v>
      </c>
      <c r="U17" s="147">
        <f t="shared" si="2"/>
        <v>0</v>
      </c>
      <c r="V17" s="147">
        <f t="shared" si="3"/>
        <v>0</v>
      </c>
      <c r="W17" s="147">
        <f t="shared" si="4"/>
        <v>0</v>
      </c>
      <c r="X17" s="147">
        <f t="shared" si="5"/>
        <v>0</v>
      </c>
      <c r="Y17" s="147">
        <f t="shared" si="6"/>
        <v>0</v>
      </c>
      <c r="Z17" s="148">
        <f>SUM(S17:Y17)</f>
        <v>0</v>
      </c>
      <c r="AA17" s="444"/>
      <c r="AB17" s="557"/>
    </row>
    <row r="18" spans="1:28" ht="21" customHeight="1">
      <c r="Q18" s="286"/>
    </row>
    <row r="19" spans="1:28" ht="18.95" customHeight="1">
      <c r="A19" s="526"/>
      <c r="B19" s="526"/>
      <c r="C19" s="526"/>
      <c r="D19" s="526"/>
      <c r="E19" s="526"/>
      <c r="F19" s="526"/>
      <c r="G19" s="526"/>
      <c r="H19" s="526"/>
      <c r="I19" s="526"/>
      <c r="J19" s="526"/>
      <c r="K19" s="526"/>
      <c r="L19" s="526"/>
      <c r="M19" s="526"/>
      <c r="N19" s="526"/>
      <c r="O19" s="526"/>
      <c r="P19" s="526"/>
    </row>
    <row r="20" spans="1:28" ht="65.25" customHeight="1"/>
    <row r="21" spans="1:28" ht="60.75" customHeight="1"/>
    <row r="22" spans="1:28" ht="55.5" customHeight="1"/>
    <row r="23" spans="1:28" ht="81.75" customHeight="1"/>
  </sheetData>
  <sheetProtection algorithmName="SHA-512" hashValue="1uT6DpvrUszkd+Vm3FurYvHkIsUlcufNocxBlRAK9M8RXIx7MkJs+n/yV4EQCpRjaM7rxSjDmiPmRt9OVE0wMQ==" saltValue="OxVYXtK+NMu0YpKIrzzhPA==" spinCount="100000" sheet="1" objects="1" scenarios="1"/>
  <mergeCells count="49">
    <mergeCell ref="AB12:AB13"/>
    <mergeCell ref="AB14:AB15"/>
    <mergeCell ref="AB3:AB4"/>
    <mergeCell ref="AA16:AA17"/>
    <mergeCell ref="Q3:Q4"/>
    <mergeCell ref="R3:R4"/>
    <mergeCell ref="S3:Y3"/>
    <mergeCell ref="Z3:Z4"/>
    <mergeCell ref="AA3:AA4"/>
    <mergeCell ref="AA5:AA6"/>
    <mergeCell ref="AA7:AA8"/>
    <mergeCell ref="AA9:AA11"/>
    <mergeCell ref="AA12:AA13"/>
    <mergeCell ref="AA14:AA15"/>
    <mergeCell ref="AB16:AB17"/>
    <mergeCell ref="AB5:AB6"/>
    <mergeCell ref="D12:D13"/>
    <mergeCell ref="D14:D15"/>
    <mergeCell ref="D5:D6"/>
    <mergeCell ref="B5:B6"/>
    <mergeCell ref="C7:C8"/>
    <mergeCell ref="D9:D11"/>
    <mergeCell ref="C16:C17"/>
    <mergeCell ref="A9:A15"/>
    <mergeCell ref="B9:B11"/>
    <mergeCell ref="B12:B13"/>
    <mergeCell ref="B14:B15"/>
    <mergeCell ref="AB7:AB8"/>
    <mergeCell ref="AB9:AB11"/>
    <mergeCell ref="A1:P1"/>
    <mergeCell ref="D7:D8"/>
    <mergeCell ref="G3:G4"/>
    <mergeCell ref="A2:P2"/>
    <mergeCell ref="A19:P19"/>
    <mergeCell ref="H3:H4"/>
    <mergeCell ref="I3:I4"/>
    <mergeCell ref="J3:P3"/>
    <mergeCell ref="C5:C6"/>
    <mergeCell ref="B7:B8"/>
    <mergeCell ref="A3:A4"/>
    <mergeCell ref="B3:B4"/>
    <mergeCell ref="C3:C4"/>
    <mergeCell ref="D3:D4"/>
    <mergeCell ref="E3:E4"/>
    <mergeCell ref="F3:F4"/>
    <mergeCell ref="A5:A8"/>
    <mergeCell ref="D16:D17"/>
    <mergeCell ref="A16:A17"/>
    <mergeCell ref="B16:B17"/>
  </mergeCells>
  <pageMargins left="0.7" right="0.7" top="0.75" bottom="0.75" header="0.3" footer="0.3"/>
  <pageSetup orientation="portrait" horizontalDpi="1200" verticalDpi="1200" r:id="rId1"/>
  <ignoredErrors>
    <ignoredError sqref="AA16 Z8 Z13 Z14 Z15 T17:Z17"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G5:G17</xm:sqref>
        </x14:dataValidation>
        <x14:dataValidation type="list" allowBlank="1" showInputMessage="1" showErrorMessage="1">
          <x14:formula1>
            <xm:f>Hoja2!$A$1:$A$3</xm:f>
          </x14:formula1>
          <xm:sqref>E5:E17</xm:sqref>
        </x14:dataValidation>
        <x14:dataValidation type="list" allowBlank="1" showInputMessage="1" showErrorMessage="1">
          <x14:formula1>
            <xm:f>Hoja2!$E$15:$E$26</xm:f>
          </x14:formula1>
          <xm:sqref>AB5:AB17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zoomScale="80" zoomScaleNormal="80" zoomScalePageLayoutView="70" workbookViewId="0">
      <selection sqref="A1:P1"/>
    </sheetView>
  </sheetViews>
  <sheetFormatPr baseColWidth="10" defaultColWidth="11" defaultRowHeight="15.75"/>
  <cols>
    <col min="1" max="1" width="34.625" customWidth="1"/>
    <col min="2" max="2" width="52.875" customWidth="1"/>
    <col min="3" max="3" width="22.125" style="66" customWidth="1"/>
    <col min="4" max="4" width="8.5" customWidth="1"/>
    <col min="5" max="5" width="13.5" customWidth="1"/>
    <col min="6" max="6" width="31.125" customWidth="1"/>
    <col min="7" max="7" width="18.125" customWidth="1"/>
    <col min="8" max="8" width="19.875" customWidth="1"/>
    <col min="9" max="9" width="32.125" customWidth="1"/>
    <col min="10" max="15" width="6.375" customWidth="1"/>
    <col min="16" max="16" width="7.12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6" t="s">
        <v>681</v>
      </c>
      <c r="B1" s="466"/>
      <c r="C1" s="466"/>
      <c r="D1" s="466"/>
      <c r="E1" s="466"/>
      <c r="F1" s="466"/>
      <c r="G1" s="466"/>
      <c r="H1" s="466"/>
      <c r="I1" s="466"/>
      <c r="J1" s="466"/>
      <c r="K1" s="466"/>
      <c r="L1" s="466"/>
      <c r="M1" s="466"/>
      <c r="N1" s="466"/>
      <c r="O1" s="466"/>
      <c r="P1" s="466"/>
    </row>
    <row r="2" spans="1:29" ht="12.75" customHeight="1" thickBot="1">
      <c r="A2" s="464"/>
      <c r="B2" s="464"/>
      <c r="C2" s="464"/>
      <c r="D2" s="464"/>
      <c r="E2" s="464"/>
      <c r="F2" s="464"/>
      <c r="G2" s="464"/>
      <c r="H2" s="464"/>
      <c r="I2" s="464"/>
      <c r="J2" s="464"/>
      <c r="K2" s="464"/>
      <c r="L2" s="464"/>
      <c r="M2" s="464"/>
      <c r="N2" s="464"/>
      <c r="O2" s="464"/>
      <c r="P2" s="465"/>
      <c r="R2" s="324">
        <f>R5+1</f>
        <v>1.04</v>
      </c>
    </row>
    <row r="3" spans="1:29" ht="22.5" customHeight="1">
      <c r="A3" s="479" t="s">
        <v>20</v>
      </c>
      <c r="B3" s="472" t="s">
        <v>21</v>
      </c>
      <c r="C3" s="472" t="s">
        <v>22</v>
      </c>
      <c r="D3" s="472" t="s">
        <v>23</v>
      </c>
      <c r="E3" s="472" t="s">
        <v>24</v>
      </c>
      <c r="F3" s="472" t="s">
        <v>25</v>
      </c>
      <c r="G3" s="472" t="s">
        <v>26</v>
      </c>
      <c r="H3" s="472" t="s">
        <v>475</v>
      </c>
      <c r="I3" s="472" t="s">
        <v>27</v>
      </c>
      <c r="J3" s="551" t="s">
        <v>28</v>
      </c>
      <c r="K3" s="552"/>
      <c r="L3" s="552"/>
      <c r="M3" s="552"/>
      <c r="N3" s="552"/>
      <c r="O3" s="552"/>
      <c r="P3" s="553"/>
      <c r="Q3" s="487" t="s">
        <v>570</v>
      </c>
      <c r="R3" s="489" t="s">
        <v>571</v>
      </c>
      <c r="S3" s="491" t="s">
        <v>572</v>
      </c>
      <c r="T3" s="491"/>
      <c r="U3" s="491"/>
      <c r="V3" s="491"/>
      <c r="W3" s="491"/>
      <c r="X3" s="491"/>
      <c r="Y3" s="500"/>
      <c r="Z3" s="492" t="s">
        <v>573</v>
      </c>
      <c r="AA3" s="502" t="s">
        <v>574</v>
      </c>
      <c r="AB3" s="515" t="s">
        <v>634</v>
      </c>
    </row>
    <row r="4" spans="1:29" ht="22.5" customHeight="1" thickBot="1">
      <c r="A4" s="554"/>
      <c r="B4" s="473"/>
      <c r="C4" s="473"/>
      <c r="D4" s="473"/>
      <c r="E4" s="473"/>
      <c r="F4" s="473"/>
      <c r="G4" s="473"/>
      <c r="H4" s="473"/>
      <c r="I4" s="473"/>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9" s="16" customFormat="1" ht="68.25" customHeight="1">
      <c r="A5" s="519" t="s">
        <v>375</v>
      </c>
      <c r="B5" s="504" t="s">
        <v>700</v>
      </c>
      <c r="C5" s="96" t="s">
        <v>790</v>
      </c>
      <c r="D5" s="527" t="s">
        <v>650</v>
      </c>
      <c r="E5" s="96" t="s">
        <v>37</v>
      </c>
      <c r="F5" s="356" t="s">
        <v>376</v>
      </c>
      <c r="G5" s="96" t="s">
        <v>35</v>
      </c>
      <c r="H5" s="124" t="s">
        <v>35</v>
      </c>
      <c r="I5" s="96" t="s">
        <v>377</v>
      </c>
      <c r="J5" s="96">
        <v>1</v>
      </c>
      <c r="K5" s="96">
        <v>0</v>
      </c>
      <c r="L5" s="96">
        <v>0</v>
      </c>
      <c r="M5" s="96">
        <v>0</v>
      </c>
      <c r="N5" s="96">
        <v>0</v>
      </c>
      <c r="O5" s="96">
        <v>0</v>
      </c>
      <c r="P5" s="166">
        <v>0</v>
      </c>
      <c r="Q5" s="135">
        <v>0</v>
      </c>
      <c r="R5" s="136">
        <v>0.04</v>
      </c>
      <c r="S5" s="140">
        <f t="shared" ref="S5:S26" si="0">IF(J5&lt;&gt;0,Q5,0)</f>
        <v>0</v>
      </c>
      <c r="T5" s="140">
        <f t="shared" ref="T5:T26" si="1">IF(K5&lt;&gt;0,(IF(S5&lt;&gt;0,(S5*$R$2),($Q5*$R$2))),0)</f>
        <v>0</v>
      </c>
      <c r="U5" s="140">
        <f t="shared" ref="U5:U26" si="2">IF(L5&lt;&gt;0,(IF(T5&lt;&gt;0,(T5*$R$2),(($Q5*$R$2)*$R$2))),0)</f>
        <v>0</v>
      </c>
      <c r="V5" s="140">
        <f t="shared" ref="V5:V26" si="3">IF(M5&lt;&gt;0,(IF(U5&lt;&gt;0,(U5*$R$2),(($Q5*$R$2)*$R$2*$R$2))),0)</f>
        <v>0</v>
      </c>
      <c r="W5" s="140">
        <f t="shared" ref="W5:W26" si="4">IF(N5&lt;&gt;0,(IF(V5&lt;&gt;0,(V5*$R$2),(($Q5*$R$2)*$R$2*$R$2*$R$2))),0)</f>
        <v>0</v>
      </c>
      <c r="X5" s="140">
        <f t="shared" ref="X5:X26" si="5">IF(O5&lt;&gt;0,(IF(W5&lt;&gt;0,(W5*$R$2),(($Q5*$R$2)*$R$2*$R$2*$R$2*$R$2))),0)</f>
        <v>0</v>
      </c>
      <c r="Y5" s="140">
        <f t="shared" ref="Y5:Y26" si="6">IF(P5&lt;&gt;0,(IF(X5&lt;&gt;0,(X5*$R$2),(($Q5*$R$2)*$R$2*$R$2*$R$2*$R$2*$R$2))),0)</f>
        <v>0</v>
      </c>
      <c r="Z5" s="137">
        <f>SUM(S5:Y5)</f>
        <v>0</v>
      </c>
      <c r="AA5" s="494">
        <f>SUM(Z5:Z6)</f>
        <v>0</v>
      </c>
      <c r="AB5" s="486" t="s">
        <v>673</v>
      </c>
    </row>
    <row r="6" spans="1:29" s="16" customFormat="1" ht="69.75" customHeight="1">
      <c r="A6" s="521"/>
      <c r="B6" s="505"/>
      <c r="C6" s="97" t="s">
        <v>790</v>
      </c>
      <c r="D6" s="523"/>
      <c r="E6" s="97" t="s">
        <v>54</v>
      </c>
      <c r="F6" s="344" t="s">
        <v>378</v>
      </c>
      <c r="G6" s="97" t="s">
        <v>34</v>
      </c>
      <c r="H6" s="125" t="s">
        <v>35</v>
      </c>
      <c r="I6" s="97" t="s">
        <v>379</v>
      </c>
      <c r="J6" s="94">
        <v>0</v>
      </c>
      <c r="K6" s="24">
        <v>0.5</v>
      </c>
      <c r="L6" s="24">
        <v>1</v>
      </c>
      <c r="M6" s="24">
        <v>1</v>
      </c>
      <c r="N6" s="24">
        <v>1</v>
      </c>
      <c r="O6" s="24">
        <v>1</v>
      </c>
      <c r="P6" s="157">
        <v>1</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7" si="7">SUM(S6:Y6)</f>
        <v>0</v>
      </c>
      <c r="AA6" s="427"/>
      <c r="AB6" s="485"/>
    </row>
    <row r="7" spans="1:29" s="16" customFormat="1" ht="63.75" customHeight="1">
      <c r="A7" s="521"/>
      <c r="B7" s="505" t="s">
        <v>380</v>
      </c>
      <c r="C7" s="336" t="s">
        <v>813</v>
      </c>
      <c r="D7" s="510" t="s">
        <v>651</v>
      </c>
      <c r="E7" s="97" t="s">
        <v>37</v>
      </c>
      <c r="F7" s="344" t="s">
        <v>381</v>
      </c>
      <c r="G7" s="97" t="s">
        <v>35</v>
      </c>
      <c r="H7" s="125" t="s">
        <v>35</v>
      </c>
      <c r="I7" s="97" t="s">
        <v>382</v>
      </c>
      <c r="J7" s="97">
        <v>1</v>
      </c>
      <c r="K7" s="97">
        <v>0</v>
      </c>
      <c r="L7" s="97">
        <v>0</v>
      </c>
      <c r="M7" s="97">
        <v>0</v>
      </c>
      <c r="N7" s="97">
        <v>0</v>
      </c>
      <c r="O7" s="97">
        <v>0</v>
      </c>
      <c r="P7" s="169">
        <v>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27">
        <f>SUM(Z7:Z8)</f>
        <v>0</v>
      </c>
      <c r="AB7" s="486" t="s">
        <v>673</v>
      </c>
    </row>
    <row r="8" spans="1:29" s="16" customFormat="1" ht="63.75" customHeight="1">
      <c r="A8" s="521"/>
      <c r="B8" s="505"/>
      <c r="C8" s="336" t="s">
        <v>813</v>
      </c>
      <c r="D8" s="523"/>
      <c r="E8" s="97" t="s">
        <v>54</v>
      </c>
      <c r="F8" s="344" t="s">
        <v>383</v>
      </c>
      <c r="G8" s="97" t="s">
        <v>34</v>
      </c>
      <c r="H8" s="125" t="s">
        <v>35</v>
      </c>
      <c r="I8" s="97" t="s">
        <v>379</v>
      </c>
      <c r="J8" s="94">
        <v>0</v>
      </c>
      <c r="K8" s="24">
        <v>0.5</v>
      </c>
      <c r="L8" s="24">
        <v>1</v>
      </c>
      <c r="M8" s="24">
        <v>1</v>
      </c>
      <c r="N8" s="24">
        <v>1</v>
      </c>
      <c r="O8" s="24">
        <v>1</v>
      </c>
      <c r="P8" s="157">
        <v>1</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27"/>
      <c r="AB8" s="485"/>
    </row>
    <row r="9" spans="1:29" s="16" customFormat="1" ht="48.75" customHeight="1">
      <c r="A9" s="521"/>
      <c r="B9" s="457" t="s">
        <v>384</v>
      </c>
      <c r="C9" s="449" t="s">
        <v>791</v>
      </c>
      <c r="D9" s="449" t="s">
        <v>652</v>
      </c>
      <c r="E9" s="97" t="s">
        <v>54</v>
      </c>
      <c r="F9" s="341" t="s">
        <v>447</v>
      </c>
      <c r="G9" s="129" t="s">
        <v>35</v>
      </c>
      <c r="H9" s="129" t="s">
        <v>35</v>
      </c>
      <c r="I9" s="129" t="s">
        <v>446</v>
      </c>
      <c r="J9" s="334">
        <v>0.89</v>
      </c>
      <c r="K9" s="334">
        <v>0.89500000000000002</v>
      </c>
      <c r="L9" s="334">
        <v>0.9</v>
      </c>
      <c r="M9" s="334">
        <v>0.90500000000000003</v>
      </c>
      <c r="N9" s="334">
        <v>0.91</v>
      </c>
      <c r="O9" s="334">
        <v>0.91500000000000004</v>
      </c>
      <c r="P9" s="335">
        <v>0.92</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427">
        <f>SUM(Z9:Z10)</f>
        <v>0</v>
      </c>
      <c r="AB9" s="486" t="s">
        <v>673</v>
      </c>
    </row>
    <row r="10" spans="1:29" s="16" customFormat="1" ht="71.25" customHeight="1" thickBot="1">
      <c r="A10" s="520"/>
      <c r="B10" s="559"/>
      <c r="C10" s="560"/>
      <c r="D10" s="560"/>
      <c r="E10" s="95" t="s">
        <v>54</v>
      </c>
      <c r="F10" s="345" t="s">
        <v>789</v>
      </c>
      <c r="G10" s="130" t="s">
        <v>35</v>
      </c>
      <c r="H10" s="131" t="s">
        <v>35</v>
      </c>
      <c r="I10" s="130" t="s">
        <v>416</v>
      </c>
      <c r="J10" s="103">
        <v>1</v>
      </c>
      <c r="K10" s="103">
        <v>1</v>
      </c>
      <c r="L10" s="103">
        <v>1</v>
      </c>
      <c r="M10" s="103">
        <v>1</v>
      </c>
      <c r="N10" s="103">
        <v>1</v>
      </c>
      <c r="O10" s="103">
        <v>1</v>
      </c>
      <c r="P10" s="171">
        <v>1</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497"/>
      <c r="AB10" s="481"/>
    </row>
    <row r="11" spans="1:29" s="16" customFormat="1" ht="55.5" customHeight="1">
      <c r="A11" s="519" t="s">
        <v>385</v>
      </c>
      <c r="B11" s="504" t="s">
        <v>529</v>
      </c>
      <c r="C11" s="506" t="s">
        <v>794</v>
      </c>
      <c r="D11" s="527" t="s">
        <v>653</v>
      </c>
      <c r="E11" s="96" t="s">
        <v>37</v>
      </c>
      <c r="F11" s="356" t="s">
        <v>728</v>
      </c>
      <c r="G11" s="96" t="s">
        <v>35</v>
      </c>
      <c r="H11" s="124" t="s">
        <v>35</v>
      </c>
      <c r="I11" s="506" t="s">
        <v>386</v>
      </c>
      <c r="J11" s="96">
        <v>1</v>
      </c>
      <c r="K11" s="96">
        <v>0</v>
      </c>
      <c r="L11" s="96">
        <v>0</v>
      </c>
      <c r="M11" s="96">
        <v>0</v>
      </c>
      <c r="N11" s="96">
        <v>0</v>
      </c>
      <c r="O11" s="96">
        <v>0</v>
      </c>
      <c r="P11" s="166">
        <v>0</v>
      </c>
      <c r="Q11" s="135">
        <v>0</v>
      </c>
      <c r="R11" s="136">
        <v>0.04</v>
      </c>
      <c r="S11" s="175">
        <f t="shared" si="0"/>
        <v>0</v>
      </c>
      <c r="T11" s="175">
        <f t="shared" si="1"/>
        <v>0</v>
      </c>
      <c r="U11" s="175">
        <f t="shared" si="2"/>
        <v>0</v>
      </c>
      <c r="V11" s="175">
        <f t="shared" si="3"/>
        <v>0</v>
      </c>
      <c r="W11" s="175">
        <f t="shared" si="4"/>
        <v>0</v>
      </c>
      <c r="X11" s="175">
        <f t="shared" si="5"/>
        <v>0</v>
      </c>
      <c r="Y11" s="175">
        <f t="shared" si="6"/>
        <v>0</v>
      </c>
      <c r="Z11" s="137">
        <f t="shared" si="7"/>
        <v>0</v>
      </c>
      <c r="AA11" s="494">
        <f>SUM(Z11:Z12)</f>
        <v>0</v>
      </c>
      <c r="AB11" s="480" t="s">
        <v>673</v>
      </c>
    </row>
    <row r="12" spans="1:29" s="16" customFormat="1" ht="87.75" customHeight="1">
      <c r="A12" s="521"/>
      <c r="B12" s="505"/>
      <c r="C12" s="507"/>
      <c r="D12" s="523"/>
      <c r="E12" s="97" t="s">
        <v>54</v>
      </c>
      <c r="F12" s="344" t="s">
        <v>729</v>
      </c>
      <c r="G12" s="97" t="s">
        <v>35</v>
      </c>
      <c r="H12" s="125" t="s">
        <v>35</v>
      </c>
      <c r="I12" s="507"/>
      <c r="J12" s="94">
        <v>0</v>
      </c>
      <c r="K12" s="24">
        <v>0.5</v>
      </c>
      <c r="L12" s="24">
        <v>1</v>
      </c>
      <c r="M12" s="24">
        <v>1</v>
      </c>
      <c r="N12" s="24">
        <v>1</v>
      </c>
      <c r="O12" s="24">
        <v>1</v>
      </c>
      <c r="P12" s="157">
        <v>1</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27"/>
      <c r="AB12" s="485"/>
    </row>
    <row r="13" spans="1:29" s="16" customFormat="1" ht="72.75" customHeight="1">
      <c r="A13" s="521"/>
      <c r="B13" s="344" t="s">
        <v>405</v>
      </c>
      <c r="C13" s="97" t="s">
        <v>530</v>
      </c>
      <c r="D13" s="97" t="s">
        <v>654</v>
      </c>
      <c r="E13" s="97" t="s">
        <v>32</v>
      </c>
      <c r="F13" s="344" t="s">
        <v>844</v>
      </c>
      <c r="G13" s="97" t="s">
        <v>35</v>
      </c>
      <c r="H13" s="125" t="s">
        <v>35</v>
      </c>
      <c r="I13" s="94" t="s">
        <v>415</v>
      </c>
      <c r="J13" s="24">
        <v>0.5</v>
      </c>
      <c r="K13" s="24">
        <v>0.9</v>
      </c>
      <c r="L13" s="24">
        <v>0.9</v>
      </c>
      <c r="M13" s="24">
        <v>0.9</v>
      </c>
      <c r="N13" s="24">
        <v>0.9</v>
      </c>
      <c r="O13" s="24">
        <v>0.9</v>
      </c>
      <c r="P13" s="157">
        <v>0.9</v>
      </c>
      <c r="Q13" s="138">
        <v>0</v>
      </c>
      <c r="R13" s="139">
        <v>0.04</v>
      </c>
      <c r="S13" s="140">
        <f t="shared" si="0"/>
        <v>0</v>
      </c>
      <c r="T13" s="140">
        <f t="shared" si="1"/>
        <v>0</v>
      </c>
      <c r="U13" s="140">
        <f t="shared" si="2"/>
        <v>0</v>
      </c>
      <c r="V13" s="140">
        <f t="shared" si="3"/>
        <v>0</v>
      </c>
      <c r="W13" s="140">
        <f t="shared" si="4"/>
        <v>0</v>
      </c>
      <c r="X13" s="140">
        <f t="shared" si="5"/>
        <v>0</v>
      </c>
      <c r="Y13" s="140">
        <f t="shared" si="6"/>
        <v>0</v>
      </c>
      <c r="Z13" s="141">
        <f t="shared" si="7"/>
        <v>0</v>
      </c>
      <c r="AA13" s="270">
        <f>Z13</f>
        <v>0</v>
      </c>
      <c r="AB13" s="265" t="s">
        <v>673</v>
      </c>
    </row>
    <row r="14" spans="1:29" s="16" customFormat="1" ht="131.25" customHeight="1">
      <c r="A14" s="521"/>
      <c r="B14" s="344" t="s">
        <v>387</v>
      </c>
      <c r="C14" s="97" t="s">
        <v>388</v>
      </c>
      <c r="D14" s="97" t="s">
        <v>655</v>
      </c>
      <c r="E14" s="97" t="s">
        <v>32</v>
      </c>
      <c r="F14" s="344" t="s">
        <v>821</v>
      </c>
      <c r="G14" s="97" t="s">
        <v>34</v>
      </c>
      <c r="H14" s="125" t="s">
        <v>35</v>
      </c>
      <c r="I14" s="97" t="s">
        <v>414</v>
      </c>
      <c r="J14" s="94">
        <v>0</v>
      </c>
      <c r="K14" s="24">
        <v>0.5</v>
      </c>
      <c r="L14" s="24">
        <v>0.5</v>
      </c>
      <c r="M14" s="24">
        <v>0.6</v>
      </c>
      <c r="N14" s="24">
        <v>0.6</v>
      </c>
      <c r="O14" s="24">
        <v>0.7</v>
      </c>
      <c r="P14" s="157">
        <v>0.7</v>
      </c>
      <c r="Q14" s="138">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270">
        <f>Z14</f>
        <v>0</v>
      </c>
      <c r="AB14" s="265" t="s">
        <v>673</v>
      </c>
    </row>
    <row r="15" spans="1:29" s="16" customFormat="1" ht="132" customHeight="1">
      <c r="A15" s="521"/>
      <c r="B15" s="344" t="s">
        <v>413</v>
      </c>
      <c r="C15" s="97" t="s">
        <v>412</v>
      </c>
      <c r="D15" s="97" t="s">
        <v>651</v>
      </c>
      <c r="E15" s="97" t="s">
        <v>54</v>
      </c>
      <c r="F15" s="344" t="s">
        <v>822</v>
      </c>
      <c r="G15" s="97" t="s">
        <v>35</v>
      </c>
      <c r="H15" s="125" t="s">
        <v>35</v>
      </c>
      <c r="I15" s="94" t="s">
        <v>411</v>
      </c>
      <c r="J15" s="18">
        <v>0.8</v>
      </c>
      <c r="K15" s="18">
        <v>0.8</v>
      </c>
      <c r="L15" s="18">
        <v>0.8</v>
      </c>
      <c r="M15" s="18">
        <v>0.8</v>
      </c>
      <c r="N15" s="18">
        <v>0.8</v>
      </c>
      <c r="O15" s="18">
        <v>0.8</v>
      </c>
      <c r="P15" s="153">
        <v>0.8</v>
      </c>
      <c r="Q15" s="138">
        <v>380000000</v>
      </c>
      <c r="R15" s="139">
        <v>0.04</v>
      </c>
      <c r="S15" s="140">
        <f t="shared" si="0"/>
        <v>380000000</v>
      </c>
      <c r="T15" s="140">
        <f t="shared" si="1"/>
        <v>395200000</v>
      </c>
      <c r="U15" s="140">
        <f t="shared" si="2"/>
        <v>411008000</v>
      </c>
      <c r="V15" s="140">
        <f t="shared" si="3"/>
        <v>427448320</v>
      </c>
      <c r="W15" s="140">
        <f t="shared" si="4"/>
        <v>444546252.80000001</v>
      </c>
      <c r="X15" s="140">
        <f t="shared" si="5"/>
        <v>462328102.912</v>
      </c>
      <c r="Y15" s="140">
        <f t="shared" si="6"/>
        <v>480821227.02847999</v>
      </c>
      <c r="Z15" s="141">
        <f t="shared" si="7"/>
        <v>3001351902.7404799</v>
      </c>
      <c r="AA15" s="270">
        <f>Z15</f>
        <v>3001351902.7404799</v>
      </c>
      <c r="AB15" s="265" t="s">
        <v>675</v>
      </c>
      <c r="AC15" s="273"/>
    </row>
    <row r="16" spans="1:29" s="16" customFormat="1" ht="121.5" customHeight="1">
      <c r="A16" s="521"/>
      <c r="B16" s="457" t="s">
        <v>528</v>
      </c>
      <c r="C16" s="449" t="s">
        <v>409</v>
      </c>
      <c r="D16" s="560" t="s">
        <v>656</v>
      </c>
      <c r="E16" s="94" t="s">
        <v>37</v>
      </c>
      <c r="F16" s="341" t="s">
        <v>410</v>
      </c>
      <c r="G16" s="100" t="s">
        <v>35</v>
      </c>
      <c r="H16" s="125" t="s">
        <v>35</v>
      </c>
      <c r="I16" s="100" t="s">
        <v>389</v>
      </c>
      <c r="J16" s="100">
        <v>1</v>
      </c>
      <c r="K16" s="100">
        <v>0</v>
      </c>
      <c r="L16" s="100">
        <v>0</v>
      </c>
      <c r="M16" s="100">
        <v>0</v>
      </c>
      <c r="N16" s="100">
        <v>0</v>
      </c>
      <c r="O16" s="100">
        <v>0</v>
      </c>
      <c r="P16" s="189">
        <v>0</v>
      </c>
      <c r="Q16" s="138">
        <v>0</v>
      </c>
      <c r="R16" s="139">
        <v>0.04</v>
      </c>
      <c r="S16" s="140">
        <f t="shared" si="0"/>
        <v>0</v>
      </c>
      <c r="T16" s="140">
        <f t="shared" si="1"/>
        <v>0</v>
      </c>
      <c r="U16" s="140">
        <f t="shared" si="2"/>
        <v>0</v>
      </c>
      <c r="V16" s="140">
        <f t="shared" si="3"/>
        <v>0</v>
      </c>
      <c r="W16" s="140">
        <f t="shared" si="4"/>
        <v>0</v>
      </c>
      <c r="X16" s="140">
        <f t="shared" si="5"/>
        <v>0</v>
      </c>
      <c r="Y16" s="140">
        <f t="shared" si="6"/>
        <v>0</v>
      </c>
      <c r="Z16" s="141">
        <f t="shared" si="7"/>
        <v>0</v>
      </c>
      <c r="AA16" s="427">
        <f>SUM(Z16:Z18)</f>
        <v>0</v>
      </c>
      <c r="AB16" s="486" t="s">
        <v>673</v>
      </c>
    </row>
    <row r="17" spans="1:28" s="16" customFormat="1" ht="96.95" customHeight="1">
      <c r="A17" s="521"/>
      <c r="B17" s="457"/>
      <c r="C17" s="449"/>
      <c r="D17" s="561"/>
      <c r="E17" s="94" t="s">
        <v>37</v>
      </c>
      <c r="F17" s="341" t="s">
        <v>408</v>
      </c>
      <c r="G17" s="100" t="s">
        <v>35</v>
      </c>
      <c r="H17" s="125" t="s">
        <v>35</v>
      </c>
      <c r="I17" s="100" t="s">
        <v>389</v>
      </c>
      <c r="J17" s="100">
        <v>1</v>
      </c>
      <c r="K17" s="100">
        <v>0</v>
      </c>
      <c r="L17" s="100">
        <v>0</v>
      </c>
      <c r="M17" s="100">
        <v>0</v>
      </c>
      <c r="N17" s="100">
        <v>0</v>
      </c>
      <c r="O17" s="100">
        <v>0</v>
      </c>
      <c r="P17" s="189">
        <v>0</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si="7"/>
        <v>0</v>
      </c>
      <c r="AA17" s="427"/>
      <c r="AB17" s="480"/>
    </row>
    <row r="18" spans="1:28" s="16" customFormat="1" ht="161.1" customHeight="1" thickBot="1">
      <c r="A18" s="520"/>
      <c r="B18" s="559"/>
      <c r="C18" s="106" t="s">
        <v>390</v>
      </c>
      <c r="D18" s="562"/>
      <c r="E18" s="103" t="s">
        <v>37</v>
      </c>
      <c r="F18" s="361" t="s">
        <v>442</v>
      </c>
      <c r="G18" s="101" t="s">
        <v>35</v>
      </c>
      <c r="H18" s="126" t="s">
        <v>35</v>
      </c>
      <c r="I18" s="101" t="s">
        <v>389</v>
      </c>
      <c r="J18" s="63">
        <v>1</v>
      </c>
      <c r="K18" s="63">
        <v>0</v>
      </c>
      <c r="L18" s="63">
        <v>0</v>
      </c>
      <c r="M18" s="63">
        <v>0</v>
      </c>
      <c r="N18" s="63">
        <v>0</v>
      </c>
      <c r="O18" s="63">
        <v>0</v>
      </c>
      <c r="P18" s="200">
        <v>0</v>
      </c>
      <c r="Q18" s="177">
        <v>0</v>
      </c>
      <c r="R18" s="146">
        <v>0.04</v>
      </c>
      <c r="S18" s="147">
        <f t="shared" si="0"/>
        <v>0</v>
      </c>
      <c r="T18" s="147">
        <f t="shared" si="1"/>
        <v>0</v>
      </c>
      <c r="U18" s="147">
        <f t="shared" si="2"/>
        <v>0</v>
      </c>
      <c r="V18" s="147">
        <f t="shared" si="3"/>
        <v>0</v>
      </c>
      <c r="W18" s="147">
        <f t="shared" si="4"/>
        <v>0</v>
      </c>
      <c r="X18" s="147">
        <f t="shared" si="5"/>
        <v>0</v>
      </c>
      <c r="Y18" s="147">
        <f t="shared" si="6"/>
        <v>0</v>
      </c>
      <c r="Z18" s="148">
        <f t="shared" ref="Z18:Z26" si="8">SUM(S18:Y18)</f>
        <v>0</v>
      </c>
      <c r="AA18" s="497"/>
      <c r="AB18" s="481"/>
    </row>
    <row r="19" spans="1:28" s="16" customFormat="1" ht="152.1" customHeight="1" thickBot="1">
      <c r="A19" s="104" t="s">
        <v>391</v>
      </c>
      <c r="B19" s="359" t="s">
        <v>392</v>
      </c>
      <c r="C19" s="76" t="s">
        <v>393</v>
      </c>
      <c r="D19" s="76" t="s">
        <v>654</v>
      </c>
      <c r="E19" s="76" t="s">
        <v>54</v>
      </c>
      <c r="F19" s="359" t="s">
        <v>394</v>
      </c>
      <c r="G19" s="76" t="s">
        <v>34</v>
      </c>
      <c r="H19" s="47" t="s">
        <v>35</v>
      </c>
      <c r="I19" s="76" t="s">
        <v>407</v>
      </c>
      <c r="J19" s="82">
        <v>1</v>
      </c>
      <c r="K19" s="82">
        <v>1</v>
      </c>
      <c r="L19" s="82">
        <v>1</v>
      </c>
      <c r="M19" s="82">
        <v>1</v>
      </c>
      <c r="N19" s="82">
        <v>1</v>
      </c>
      <c r="O19" s="82">
        <v>1</v>
      </c>
      <c r="P19" s="83">
        <v>1</v>
      </c>
      <c r="Q19" s="205">
        <v>0</v>
      </c>
      <c r="R19" s="206">
        <v>0.04</v>
      </c>
      <c r="S19" s="181">
        <f t="shared" si="0"/>
        <v>0</v>
      </c>
      <c r="T19" s="181">
        <f t="shared" si="1"/>
        <v>0</v>
      </c>
      <c r="U19" s="181">
        <f t="shared" si="2"/>
        <v>0</v>
      </c>
      <c r="V19" s="181">
        <f t="shared" si="3"/>
        <v>0</v>
      </c>
      <c r="W19" s="181">
        <f t="shared" si="4"/>
        <v>0</v>
      </c>
      <c r="X19" s="181">
        <f t="shared" si="5"/>
        <v>0</v>
      </c>
      <c r="Y19" s="181">
        <f t="shared" si="6"/>
        <v>0</v>
      </c>
      <c r="Z19" s="207">
        <f t="shared" si="8"/>
        <v>0</v>
      </c>
      <c r="AA19" s="271">
        <f>Z19</f>
        <v>0</v>
      </c>
      <c r="AB19" s="275" t="s">
        <v>673</v>
      </c>
    </row>
    <row r="20" spans="1:28" s="16" customFormat="1" ht="145.5" customHeight="1">
      <c r="A20" s="519" t="s">
        <v>395</v>
      </c>
      <c r="B20" s="529" t="s">
        <v>527</v>
      </c>
      <c r="C20" s="461" t="s">
        <v>793</v>
      </c>
      <c r="D20" s="448" t="s">
        <v>654</v>
      </c>
      <c r="E20" s="93" t="s">
        <v>37</v>
      </c>
      <c r="F20" s="363" t="s">
        <v>526</v>
      </c>
      <c r="G20" s="128" t="s">
        <v>35</v>
      </c>
      <c r="H20" s="132" t="s">
        <v>35</v>
      </c>
      <c r="I20" s="128" t="s">
        <v>525</v>
      </c>
      <c r="J20" s="96">
        <v>1</v>
      </c>
      <c r="K20" s="96">
        <v>1</v>
      </c>
      <c r="L20" s="96">
        <v>1</v>
      </c>
      <c r="M20" s="96">
        <v>1</v>
      </c>
      <c r="N20" s="96">
        <v>1</v>
      </c>
      <c r="O20" s="96">
        <v>1</v>
      </c>
      <c r="P20" s="166">
        <v>1</v>
      </c>
      <c r="Q20" s="135">
        <v>0</v>
      </c>
      <c r="R20" s="136">
        <v>0.04</v>
      </c>
      <c r="S20" s="175">
        <f t="shared" si="0"/>
        <v>0</v>
      </c>
      <c r="T20" s="175">
        <f t="shared" si="1"/>
        <v>0</v>
      </c>
      <c r="U20" s="175">
        <f t="shared" si="2"/>
        <v>0</v>
      </c>
      <c r="V20" s="175">
        <f t="shared" si="3"/>
        <v>0</v>
      </c>
      <c r="W20" s="175">
        <f t="shared" si="4"/>
        <v>0</v>
      </c>
      <c r="X20" s="175">
        <f t="shared" si="5"/>
        <v>0</v>
      </c>
      <c r="Y20" s="175">
        <f t="shared" si="6"/>
        <v>0</v>
      </c>
      <c r="Z20" s="137">
        <f t="shared" si="8"/>
        <v>0</v>
      </c>
      <c r="AA20" s="494">
        <f>SUM(Z20:Z21)</f>
        <v>0</v>
      </c>
      <c r="AB20" s="480" t="s">
        <v>673</v>
      </c>
    </row>
    <row r="21" spans="1:28" s="16" customFormat="1" ht="70.5" customHeight="1">
      <c r="A21" s="521"/>
      <c r="B21" s="530"/>
      <c r="C21" s="558"/>
      <c r="D21" s="449"/>
      <c r="E21" s="97" t="s">
        <v>54</v>
      </c>
      <c r="F21" s="341" t="s">
        <v>449</v>
      </c>
      <c r="G21" s="129" t="s">
        <v>35</v>
      </c>
      <c r="H21" s="129" t="s">
        <v>35</v>
      </c>
      <c r="I21" s="129" t="s">
        <v>448</v>
      </c>
      <c r="J21" s="18">
        <v>1</v>
      </c>
      <c r="K21" s="18">
        <v>1</v>
      </c>
      <c r="L21" s="18">
        <v>1</v>
      </c>
      <c r="M21" s="18">
        <v>1</v>
      </c>
      <c r="N21" s="18">
        <v>1</v>
      </c>
      <c r="O21" s="18">
        <v>1</v>
      </c>
      <c r="P21" s="153">
        <v>1</v>
      </c>
      <c r="Q21" s="138">
        <v>0</v>
      </c>
      <c r="R21" s="139">
        <v>0.04</v>
      </c>
      <c r="S21" s="140">
        <f t="shared" si="0"/>
        <v>0</v>
      </c>
      <c r="T21" s="140">
        <f t="shared" si="1"/>
        <v>0</v>
      </c>
      <c r="U21" s="140">
        <f t="shared" si="2"/>
        <v>0</v>
      </c>
      <c r="V21" s="140">
        <f t="shared" si="3"/>
        <v>0</v>
      </c>
      <c r="W21" s="140">
        <f t="shared" si="4"/>
        <v>0</v>
      </c>
      <c r="X21" s="140">
        <f t="shared" si="5"/>
        <v>0</v>
      </c>
      <c r="Y21" s="140">
        <f t="shared" si="6"/>
        <v>0</v>
      </c>
      <c r="Z21" s="141">
        <f t="shared" si="8"/>
        <v>0</v>
      </c>
      <c r="AA21" s="427"/>
      <c r="AB21" s="485"/>
    </row>
    <row r="22" spans="1:28" s="16" customFormat="1" ht="99" customHeight="1" thickBot="1">
      <c r="A22" s="520"/>
      <c r="B22" s="357" t="s">
        <v>701</v>
      </c>
      <c r="C22" s="95" t="s">
        <v>792</v>
      </c>
      <c r="D22" s="95" t="s">
        <v>654</v>
      </c>
      <c r="E22" s="95" t="s">
        <v>32</v>
      </c>
      <c r="F22" s="357" t="s">
        <v>823</v>
      </c>
      <c r="G22" s="95" t="s">
        <v>34</v>
      </c>
      <c r="H22" s="126" t="s">
        <v>35</v>
      </c>
      <c r="I22" s="95" t="s">
        <v>396</v>
      </c>
      <c r="J22" s="33">
        <v>1</v>
      </c>
      <c r="K22" s="33">
        <v>1</v>
      </c>
      <c r="L22" s="33">
        <v>1</v>
      </c>
      <c r="M22" s="33">
        <v>1</v>
      </c>
      <c r="N22" s="33">
        <v>1</v>
      </c>
      <c r="O22" s="33">
        <v>1</v>
      </c>
      <c r="P22" s="154">
        <v>1</v>
      </c>
      <c r="Q22" s="162">
        <v>0</v>
      </c>
      <c r="R22" s="144">
        <v>0.04</v>
      </c>
      <c r="S22" s="147">
        <f t="shared" si="0"/>
        <v>0</v>
      </c>
      <c r="T22" s="147">
        <f t="shared" si="1"/>
        <v>0</v>
      </c>
      <c r="U22" s="147">
        <f t="shared" si="2"/>
        <v>0</v>
      </c>
      <c r="V22" s="147">
        <f t="shared" si="3"/>
        <v>0</v>
      </c>
      <c r="W22" s="147">
        <f t="shared" si="4"/>
        <v>0</v>
      </c>
      <c r="X22" s="147">
        <f t="shared" si="5"/>
        <v>0</v>
      </c>
      <c r="Y22" s="147">
        <f t="shared" si="6"/>
        <v>0</v>
      </c>
      <c r="Z22" s="145">
        <f t="shared" si="8"/>
        <v>0</v>
      </c>
      <c r="AA22" s="272">
        <f>Z22</f>
        <v>0</v>
      </c>
      <c r="AB22" s="266" t="s">
        <v>673</v>
      </c>
    </row>
    <row r="23" spans="1:28" s="16" customFormat="1" ht="81.75" customHeight="1">
      <c r="A23" s="519" t="s">
        <v>397</v>
      </c>
      <c r="B23" s="504" t="s">
        <v>398</v>
      </c>
      <c r="C23" s="506" t="s">
        <v>399</v>
      </c>
      <c r="D23" s="527" t="s">
        <v>654</v>
      </c>
      <c r="E23" s="96" t="s">
        <v>37</v>
      </c>
      <c r="F23" s="363" t="s">
        <v>400</v>
      </c>
      <c r="G23" s="99" t="s">
        <v>35</v>
      </c>
      <c r="H23" s="69" t="s">
        <v>35</v>
      </c>
      <c r="I23" s="99" t="s">
        <v>401</v>
      </c>
      <c r="J23" s="99">
        <v>1</v>
      </c>
      <c r="K23" s="99">
        <v>0</v>
      </c>
      <c r="L23" s="99">
        <v>0</v>
      </c>
      <c r="M23" s="99">
        <v>0</v>
      </c>
      <c r="N23" s="99">
        <v>0</v>
      </c>
      <c r="O23" s="99">
        <v>0</v>
      </c>
      <c r="P23" s="188">
        <v>0</v>
      </c>
      <c r="Q23" s="311">
        <v>0</v>
      </c>
      <c r="R23" s="136">
        <v>0.04</v>
      </c>
      <c r="S23" s="312">
        <f t="shared" si="0"/>
        <v>0</v>
      </c>
      <c r="T23" s="312">
        <f t="shared" si="1"/>
        <v>0</v>
      </c>
      <c r="U23" s="312">
        <f t="shared" si="2"/>
        <v>0</v>
      </c>
      <c r="V23" s="312">
        <f t="shared" si="3"/>
        <v>0</v>
      </c>
      <c r="W23" s="312">
        <f t="shared" si="4"/>
        <v>0</v>
      </c>
      <c r="X23" s="312">
        <f t="shared" si="5"/>
        <v>0</v>
      </c>
      <c r="Y23" s="312">
        <f t="shared" si="6"/>
        <v>0</v>
      </c>
      <c r="Z23" s="137">
        <f t="shared" si="8"/>
        <v>0</v>
      </c>
      <c r="AA23" s="544">
        <f>SUM(Z23:Z26)</f>
        <v>8688123928.9855995</v>
      </c>
      <c r="AB23" s="480" t="s">
        <v>662</v>
      </c>
    </row>
    <row r="24" spans="1:28" s="16" customFormat="1" ht="57.95" customHeight="1">
      <c r="A24" s="521"/>
      <c r="B24" s="505"/>
      <c r="C24" s="507"/>
      <c r="D24" s="528"/>
      <c r="E24" s="97" t="s">
        <v>54</v>
      </c>
      <c r="F24" s="341" t="s">
        <v>402</v>
      </c>
      <c r="G24" s="100" t="s">
        <v>35</v>
      </c>
      <c r="H24" s="125" t="s">
        <v>35</v>
      </c>
      <c r="I24" s="100" t="s">
        <v>403</v>
      </c>
      <c r="J24" s="30">
        <v>0.7</v>
      </c>
      <c r="K24" s="30">
        <v>1</v>
      </c>
      <c r="L24" s="30">
        <v>1</v>
      </c>
      <c r="M24" s="30">
        <v>1</v>
      </c>
      <c r="N24" s="30">
        <v>1</v>
      </c>
      <c r="O24" s="30">
        <v>1</v>
      </c>
      <c r="P24" s="190">
        <v>1</v>
      </c>
      <c r="Q24" s="138">
        <v>470000000</v>
      </c>
      <c r="R24" s="139">
        <v>0.04</v>
      </c>
      <c r="S24" s="140">
        <f t="shared" si="0"/>
        <v>470000000</v>
      </c>
      <c r="T24" s="140">
        <f t="shared" si="1"/>
        <v>488800000</v>
      </c>
      <c r="U24" s="140">
        <f t="shared" si="2"/>
        <v>508352000</v>
      </c>
      <c r="V24" s="140">
        <f t="shared" si="3"/>
        <v>528686080</v>
      </c>
      <c r="W24" s="140">
        <f t="shared" si="4"/>
        <v>549833523.20000005</v>
      </c>
      <c r="X24" s="140">
        <f t="shared" si="5"/>
        <v>571826864.12800002</v>
      </c>
      <c r="Y24" s="140">
        <f t="shared" si="6"/>
        <v>594699938.69312</v>
      </c>
      <c r="Z24" s="302">
        <f t="shared" si="8"/>
        <v>3712198406.0211201</v>
      </c>
      <c r="AA24" s="394"/>
      <c r="AB24" s="480"/>
    </row>
    <row r="25" spans="1:28" s="16" customFormat="1" ht="71.099999999999994" customHeight="1">
      <c r="A25" s="521"/>
      <c r="B25" s="505"/>
      <c r="C25" s="507"/>
      <c r="D25" s="528"/>
      <c r="E25" s="97" t="s">
        <v>37</v>
      </c>
      <c r="F25" s="341" t="s">
        <v>404</v>
      </c>
      <c r="G25" s="100" t="s">
        <v>35</v>
      </c>
      <c r="H25" s="125" t="s">
        <v>35</v>
      </c>
      <c r="I25" s="100" t="s">
        <v>403</v>
      </c>
      <c r="J25" s="100">
        <v>1</v>
      </c>
      <c r="K25" s="100">
        <v>0</v>
      </c>
      <c r="L25" s="100">
        <v>0</v>
      </c>
      <c r="M25" s="100">
        <v>0</v>
      </c>
      <c r="N25" s="100">
        <v>0</v>
      </c>
      <c r="O25" s="100">
        <v>0</v>
      </c>
      <c r="P25" s="189">
        <v>0</v>
      </c>
      <c r="Q25" s="138">
        <v>0</v>
      </c>
      <c r="R25" s="139">
        <v>0.04</v>
      </c>
      <c r="S25" s="140">
        <f t="shared" si="0"/>
        <v>0</v>
      </c>
      <c r="T25" s="140">
        <f t="shared" si="1"/>
        <v>0</v>
      </c>
      <c r="U25" s="140">
        <f t="shared" si="2"/>
        <v>0</v>
      </c>
      <c r="V25" s="140">
        <f t="shared" si="3"/>
        <v>0</v>
      </c>
      <c r="W25" s="140">
        <f t="shared" si="4"/>
        <v>0</v>
      </c>
      <c r="X25" s="140">
        <f t="shared" si="5"/>
        <v>0</v>
      </c>
      <c r="Y25" s="140">
        <f t="shared" si="6"/>
        <v>0</v>
      </c>
      <c r="Z25" s="302">
        <f t="shared" si="8"/>
        <v>0</v>
      </c>
      <c r="AA25" s="394"/>
      <c r="AB25" s="480"/>
    </row>
    <row r="26" spans="1:28" s="16" customFormat="1" ht="42" customHeight="1">
      <c r="A26" s="521"/>
      <c r="B26" s="505"/>
      <c r="C26" s="507"/>
      <c r="D26" s="523"/>
      <c r="E26" s="97" t="s">
        <v>54</v>
      </c>
      <c r="F26" s="341" t="s">
        <v>406</v>
      </c>
      <c r="G26" s="100" t="s">
        <v>35</v>
      </c>
      <c r="H26" s="125" t="s">
        <v>35</v>
      </c>
      <c r="I26" s="100" t="s">
        <v>403</v>
      </c>
      <c r="J26" s="30">
        <v>0.7</v>
      </c>
      <c r="K26" s="30">
        <v>1</v>
      </c>
      <c r="L26" s="30">
        <v>1</v>
      </c>
      <c r="M26" s="30">
        <v>1</v>
      </c>
      <c r="N26" s="30">
        <v>1</v>
      </c>
      <c r="O26" s="30">
        <v>1</v>
      </c>
      <c r="P26" s="190">
        <v>1</v>
      </c>
      <c r="Q26" s="138">
        <v>630000000</v>
      </c>
      <c r="R26" s="139">
        <v>0.04</v>
      </c>
      <c r="S26" s="140">
        <f t="shared" si="0"/>
        <v>630000000</v>
      </c>
      <c r="T26" s="140">
        <f t="shared" si="1"/>
        <v>655200000</v>
      </c>
      <c r="U26" s="140">
        <f t="shared" si="2"/>
        <v>681408000</v>
      </c>
      <c r="V26" s="140">
        <f t="shared" si="3"/>
        <v>708664320</v>
      </c>
      <c r="W26" s="140">
        <f t="shared" si="4"/>
        <v>737010892.80000007</v>
      </c>
      <c r="X26" s="140">
        <f t="shared" si="5"/>
        <v>766491328.51200008</v>
      </c>
      <c r="Y26" s="140">
        <f t="shared" si="6"/>
        <v>797150981.65248013</v>
      </c>
      <c r="Z26" s="302">
        <f t="shared" si="8"/>
        <v>4975925522.9644804</v>
      </c>
      <c r="AA26" s="394"/>
      <c r="AB26" s="485"/>
    </row>
  </sheetData>
  <sheetProtection algorithmName="SHA-512" hashValue="S6QhOXCrUWx6CA/z+MjhAFHV/sqYG8fn8VYnUT74K1c2TEQ2jq1xLYd6giDaR9HaHbqerzRb9RG6MhJtaUErGQ==" saltValue="RKWg4yFr2TIt0YBgx941Yw==" spinCount="100000" sheet="1" objects="1" scenarios="1"/>
  <mergeCells count="56">
    <mergeCell ref="AB20:AB21"/>
    <mergeCell ref="AB23:AB26"/>
    <mergeCell ref="AB5:AB6"/>
    <mergeCell ref="AB7:AB8"/>
    <mergeCell ref="AB9:AB10"/>
    <mergeCell ref="AB11:AB12"/>
    <mergeCell ref="AB16:AB18"/>
    <mergeCell ref="AB3:AB4"/>
    <mergeCell ref="AA9:AA10"/>
    <mergeCell ref="AA11:AA12"/>
    <mergeCell ref="S3:Y3"/>
    <mergeCell ref="Z3:Z4"/>
    <mergeCell ref="AA3:AA4"/>
    <mergeCell ref="AA5:AA6"/>
    <mergeCell ref="AA7:AA8"/>
    <mergeCell ref="J3:P3"/>
    <mergeCell ref="H3:H4"/>
    <mergeCell ref="I3:I4"/>
    <mergeCell ref="Q3:Q4"/>
    <mergeCell ref="R3:R4"/>
    <mergeCell ref="A2:P2"/>
    <mergeCell ref="A1:P1"/>
    <mergeCell ref="A5:A10"/>
    <mergeCell ref="B5:B6"/>
    <mergeCell ref="B7:B8"/>
    <mergeCell ref="F3:F4"/>
    <mergeCell ref="G3:G4"/>
    <mergeCell ref="B9:B10"/>
    <mergeCell ref="C9:C10"/>
    <mergeCell ref="D9:D10"/>
    <mergeCell ref="D5:D6"/>
    <mergeCell ref="D7:D8"/>
    <mergeCell ref="A3:A4"/>
    <mergeCell ref="B3:B4"/>
    <mergeCell ref="C3:C4"/>
    <mergeCell ref="D3:D4"/>
    <mergeCell ref="E3:E4"/>
    <mergeCell ref="A11:A18"/>
    <mergeCell ref="B11:B12"/>
    <mergeCell ref="C11:C12"/>
    <mergeCell ref="I11:I12"/>
    <mergeCell ref="B16:B18"/>
    <mergeCell ref="C16:C17"/>
    <mergeCell ref="D11:D12"/>
    <mergeCell ref="D16:D18"/>
    <mergeCell ref="A20:A22"/>
    <mergeCell ref="A23:A26"/>
    <mergeCell ref="B23:B26"/>
    <mergeCell ref="C23:C26"/>
    <mergeCell ref="B20:B21"/>
    <mergeCell ref="C20:C21"/>
    <mergeCell ref="AA16:AA18"/>
    <mergeCell ref="AA20:AA21"/>
    <mergeCell ref="AA23:AA26"/>
    <mergeCell ref="D20:D21"/>
    <mergeCell ref="D23:D26"/>
  </mergeCells>
  <pageMargins left="0.7" right="0.7" top="0.75" bottom="0.75" header="0.3" footer="0.3"/>
  <pageSetup orientation="portrait" horizontalDpi="1200" verticalDpi="1200" r:id="rId1"/>
  <ignoredErrors>
    <ignoredError sqref="Z13:Z26 AA19 AA23 T24:Y2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E5:E26</xm:sqref>
        </x14:dataValidation>
        <x14:dataValidation type="list" allowBlank="1" showInputMessage="1" showErrorMessage="1">
          <x14:formula1>
            <xm:f>Hoja2!$C$15:$C$17</xm:f>
          </x14:formula1>
          <xm:sqref>G5:G26</xm:sqref>
        </x14:dataValidation>
        <x14:dataValidation type="list" allowBlank="1" showInputMessage="1" showErrorMessage="1">
          <x14:formula1>
            <xm:f>Hoja2!$E$15:$E$26</xm:f>
          </x14:formula1>
          <xm:sqref>AB5:AB26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
  <sheetViews>
    <sheetView zoomScale="80" zoomScaleNormal="80" zoomScalePageLayoutView="8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6.5" thickBot="1">
      <c r="A2" s="464"/>
      <c r="B2" s="464"/>
      <c r="C2" s="464"/>
      <c r="D2" s="464"/>
      <c r="E2" s="464"/>
      <c r="F2" s="464"/>
      <c r="G2" s="464"/>
      <c r="H2" s="464"/>
      <c r="I2" s="464"/>
      <c r="J2" s="464"/>
      <c r="K2" s="464"/>
      <c r="L2" s="464"/>
      <c r="M2" s="464"/>
      <c r="N2" s="464"/>
      <c r="O2" s="464"/>
      <c r="P2" s="465"/>
      <c r="R2" s="324">
        <f>R5+1</f>
        <v>1.04</v>
      </c>
    </row>
    <row r="3" spans="1:28" ht="22.5" customHeight="1">
      <c r="A3" s="479" t="s">
        <v>20</v>
      </c>
      <c r="B3" s="472" t="s">
        <v>21</v>
      </c>
      <c r="C3" s="472" t="s">
        <v>22</v>
      </c>
      <c r="D3" s="472" t="s">
        <v>23</v>
      </c>
      <c r="E3" s="472" t="s">
        <v>24</v>
      </c>
      <c r="F3" s="472" t="s">
        <v>25</v>
      </c>
      <c r="G3" s="472" t="s">
        <v>26</v>
      </c>
      <c r="H3" s="472" t="s">
        <v>475</v>
      </c>
      <c r="I3" s="472" t="s">
        <v>27</v>
      </c>
      <c r="J3" s="551" t="s">
        <v>28</v>
      </c>
      <c r="K3" s="552"/>
      <c r="L3" s="552"/>
      <c r="M3" s="552"/>
      <c r="N3" s="552"/>
      <c r="O3" s="552"/>
      <c r="P3" s="553"/>
      <c r="Q3" s="487" t="s">
        <v>570</v>
      </c>
      <c r="R3" s="489" t="s">
        <v>571</v>
      </c>
      <c r="S3" s="491" t="s">
        <v>572</v>
      </c>
      <c r="T3" s="491"/>
      <c r="U3" s="491"/>
      <c r="V3" s="491"/>
      <c r="W3" s="491"/>
      <c r="X3" s="491"/>
      <c r="Y3" s="500"/>
      <c r="Z3" s="492" t="s">
        <v>573</v>
      </c>
      <c r="AA3" s="502" t="s">
        <v>574</v>
      </c>
      <c r="AB3" s="515" t="s">
        <v>634</v>
      </c>
    </row>
    <row r="4" spans="1:28" ht="22.5" customHeight="1" thickBot="1">
      <c r="A4" s="554"/>
      <c r="B4" s="473"/>
      <c r="C4" s="473"/>
      <c r="D4" s="473"/>
      <c r="E4" s="473"/>
      <c r="F4" s="473"/>
      <c r="G4" s="473"/>
      <c r="H4" s="473"/>
      <c r="I4" s="473"/>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51" customHeight="1">
      <c r="A5" s="519" t="s">
        <v>306</v>
      </c>
      <c r="B5" s="504" t="s">
        <v>702</v>
      </c>
      <c r="C5" s="506" t="s">
        <v>805</v>
      </c>
      <c r="D5" s="527" t="s">
        <v>558</v>
      </c>
      <c r="E5" s="96" t="s">
        <v>37</v>
      </c>
      <c r="F5" s="356" t="s">
        <v>730</v>
      </c>
      <c r="G5" s="96" t="s">
        <v>35</v>
      </c>
      <c r="H5" s="99" t="s">
        <v>35</v>
      </c>
      <c r="I5" s="96">
        <v>0</v>
      </c>
      <c r="J5" s="93">
        <v>1</v>
      </c>
      <c r="K5" s="96">
        <v>0</v>
      </c>
      <c r="L5" s="96">
        <v>0</v>
      </c>
      <c r="M5" s="96">
        <v>0</v>
      </c>
      <c r="N5" s="96">
        <v>0</v>
      </c>
      <c r="O5" s="96">
        <v>0</v>
      </c>
      <c r="P5" s="2">
        <v>0</v>
      </c>
      <c r="Q5" s="135">
        <v>0</v>
      </c>
      <c r="R5" s="136">
        <v>0.04</v>
      </c>
      <c r="S5" s="140">
        <f t="shared" ref="S5:S16" si="0">IF(J5&lt;&gt;0,Q5,0)</f>
        <v>0</v>
      </c>
      <c r="T5" s="140">
        <f t="shared" ref="T5:T16" si="1">IF(K5&lt;&gt;0,(IF(S5&lt;&gt;0,(S5*$R$2),($Q5*$R$2))),0)</f>
        <v>0</v>
      </c>
      <c r="U5" s="140">
        <f t="shared" ref="U5:U16" si="2">IF(L5&lt;&gt;0,(IF(T5&lt;&gt;0,(T5*$R$2),(($Q5*$R$2)*$R$2))),0)</f>
        <v>0</v>
      </c>
      <c r="V5" s="140">
        <f t="shared" ref="V5:V16" si="3">IF(M5&lt;&gt;0,(IF(U5&lt;&gt;0,(U5*$R$2),(($Q5*$R$2)*$R$2*$R$2))),0)</f>
        <v>0</v>
      </c>
      <c r="W5" s="140">
        <f t="shared" ref="W5:W16" si="4">IF(N5&lt;&gt;0,(IF(V5&lt;&gt;0,(V5*$R$2),(($Q5*$R$2)*$R$2*$R$2*$R$2))),0)</f>
        <v>0</v>
      </c>
      <c r="X5" s="140">
        <f t="shared" ref="X5:X16" si="5">IF(O5&lt;&gt;0,(IF(W5&lt;&gt;0,(W5*$R$2),(($Q5*$R$2)*$R$2*$R$2*$R$2*$R$2))),0)</f>
        <v>0</v>
      </c>
      <c r="Y5" s="140">
        <f t="shared" ref="Y5:Y16" si="6">IF(P5&lt;&gt;0,(IF(X5&lt;&gt;0,(X5*$R$2),(($Q5*$R$2)*$R$2*$R$2*$R$2*$R$2*$R$2))),0)</f>
        <v>0</v>
      </c>
      <c r="Z5" s="137">
        <f>SUM(S5:Y5)</f>
        <v>0</v>
      </c>
      <c r="AA5" s="494">
        <f>SUM(Z5:Z9)</f>
        <v>0</v>
      </c>
      <c r="AB5" s="486" t="s">
        <v>673</v>
      </c>
    </row>
    <row r="6" spans="1:28" s="16" customFormat="1" ht="54" customHeight="1">
      <c r="A6" s="521"/>
      <c r="B6" s="505"/>
      <c r="C6" s="507"/>
      <c r="D6" s="528"/>
      <c r="E6" s="97" t="s">
        <v>32</v>
      </c>
      <c r="F6" s="341" t="s">
        <v>307</v>
      </c>
      <c r="G6" s="100" t="s">
        <v>35</v>
      </c>
      <c r="H6" s="100" t="s">
        <v>35</v>
      </c>
      <c r="I6" s="100" t="s">
        <v>308</v>
      </c>
      <c r="J6" s="100">
        <v>2.5</v>
      </c>
      <c r="K6" s="100">
        <v>2.5</v>
      </c>
      <c r="L6" s="100">
        <v>2.5</v>
      </c>
      <c r="M6" s="100">
        <v>2.5</v>
      </c>
      <c r="N6" s="100">
        <v>2.5</v>
      </c>
      <c r="O6" s="100">
        <v>2.5</v>
      </c>
      <c r="P6" s="42">
        <v>2.5</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6" si="7">SUM(S6:Y6)</f>
        <v>0</v>
      </c>
      <c r="AA6" s="427"/>
      <c r="AB6" s="480"/>
    </row>
    <row r="7" spans="1:28" s="16" customFormat="1" ht="48.75" customHeight="1">
      <c r="A7" s="521"/>
      <c r="B7" s="505"/>
      <c r="C7" s="507"/>
      <c r="D7" s="528"/>
      <c r="E7" s="97" t="s">
        <v>32</v>
      </c>
      <c r="F7" s="370" t="s">
        <v>309</v>
      </c>
      <c r="G7" s="60" t="s">
        <v>35</v>
      </c>
      <c r="H7" s="100" t="s">
        <v>35</v>
      </c>
      <c r="I7" s="61">
        <v>0.9</v>
      </c>
      <c r="J7" s="30">
        <v>0.91</v>
      </c>
      <c r="K7" s="30">
        <v>0.91</v>
      </c>
      <c r="L7" s="30">
        <v>0.91</v>
      </c>
      <c r="M7" s="30">
        <v>0.91</v>
      </c>
      <c r="N7" s="30">
        <v>0.91</v>
      </c>
      <c r="O7" s="30">
        <v>0.91</v>
      </c>
      <c r="P7" s="31">
        <v>0.91</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27"/>
      <c r="AB7" s="480"/>
    </row>
    <row r="8" spans="1:28" s="16" customFormat="1" ht="48.75" customHeight="1">
      <c r="A8" s="521"/>
      <c r="B8" s="505"/>
      <c r="C8" s="507"/>
      <c r="D8" s="528"/>
      <c r="E8" s="97" t="s">
        <v>32</v>
      </c>
      <c r="F8" s="340" t="s">
        <v>310</v>
      </c>
      <c r="G8" s="97" t="s">
        <v>35</v>
      </c>
      <c r="H8" s="100" t="s">
        <v>35</v>
      </c>
      <c r="I8" s="18">
        <v>0.86</v>
      </c>
      <c r="J8" s="24">
        <v>0.87</v>
      </c>
      <c r="K8" s="24">
        <v>0.87</v>
      </c>
      <c r="L8" s="24">
        <v>0.87</v>
      </c>
      <c r="M8" s="24">
        <v>0.87</v>
      </c>
      <c r="N8" s="24">
        <v>0.87</v>
      </c>
      <c r="O8" s="24">
        <v>0.87</v>
      </c>
      <c r="P8" s="62">
        <v>0.87</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27"/>
      <c r="AB8" s="480"/>
    </row>
    <row r="9" spans="1:28" s="16" customFormat="1" ht="49.5" customHeight="1">
      <c r="A9" s="521"/>
      <c r="B9" s="505"/>
      <c r="C9" s="507"/>
      <c r="D9" s="523"/>
      <c r="E9" s="97" t="s">
        <v>32</v>
      </c>
      <c r="F9" s="341" t="s">
        <v>311</v>
      </c>
      <c r="G9" s="100" t="s">
        <v>35</v>
      </c>
      <c r="H9" s="100" t="s">
        <v>35</v>
      </c>
      <c r="I9" s="100" t="s">
        <v>312</v>
      </c>
      <c r="J9" s="30">
        <v>0.56999999999999995</v>
      </c>
      <c r="K9" s="30">
        <v>0.56999999999999995</v>
      </c>
      <c r="L9" s="30">
        <v>0.56999999999999995</v>
      </c>
      <c r="M9" s="30">
        <v>0.56999999999999995</v>
      </c>
      <c r="N9" s="30">
        <v>0.56999999999999995</v>
      </c>
      <c r="O9" s="30">
        <v>0.56999999999999995</v>
      </c>
      <c r="P9" s="31">
        <v>0.56999999999999995</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427"/>
      <c r="AB9" s="485"/>
    </row>
    <row r="10" spans="1:28" s="16" customFormat="1" ht="93" customHeight="1" thickBot="1">
      <c r="A10" s="520"/>
      <c r="B10" s="357" t="s">
        <v>313</v>
      </c>
      <c r="C10" s="95" t="s">
        <v>804</v>
      </c>
      <c r="D10" s="95" t="s">
        <v>543</v>
      </c>
      <c r="E10" s="95" t="s">
        <v>37</v>
      </c>
      <c r="F10" s="369" t="s">
        <v>314</v>
      </c>
      <c r="G10" s="95" t="s">
        <v>35</v>
      </c>
      <c r="H10" s="101" t="s">
        <v>35</v>
      </c>
      <c r="I10" s="95" t="s">
        <v>315</v>
      </c>
      <c r="J10" s="103">
        <v>1</v>
      </c>
      <c r="K10" s="103">
        <v>2</v>
      </c>
      <c r="L10" s="103">
        <v>2</v>
      </c>
      <c r="M10" s="103">
        <v>3</v>
      </c>
      <c r="N10" s="103">
        <v>3</v>
      </c>
      <c r="O10" s="103">
        <v>3</v>
      </c>
      <c r="P10" s="27">
        <v>3</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279">
        <f>Z10</f>
        <v>0</v>
      </c>
      <c r="AB10" s="281" t="s">
        <v>673</v>
      </c>
    </row>
    <row r="11" spans="1:28" s="16" customFormat="1" ht="71.25" customHeight="1">
      <c r="A11" s="519" t="s">
        <v>316</v>
      </c>
      <c r="B11" s="504" t="s">
        <v>317</v>
      </c>
      <c r="C11" s="506" t="s">
        <v>806</v>
      </c>
      <c r="D11" s="527" t="s">
        <v>543</v>
      </c>
      <c r="E11" s="96" t="s">
        <v>54</v>
      </c>
      <c r="F11" s="356" t="s">
        <v>370</v>
      </c>
      <c r="G11" s="96" t="s">
        <v>35</v>
      </c>
      <c r="H11" s="99" t="s">
        <v>35</v>
      </c>
      <c r="I11" s="96" t="s">
        <v>318</v>
      </c>
      <c r="J11" s="99">
        <v>1</v>
      </c>
      <c r="K11" s="96">
        <v>2</v>
      </c>
      <c r="L11" s="96">
        <v>2</v>
      </c>
      <c r="M11" s="96">
        <v>2</v>
      </c>
      <c r="N11" s="96">
        <v>2</v>
      </c>
      <c r="O11" s="96">
        <v>2</v>
      </c>
      <c r="P11" s="166">
        <v>2</v>
      </c>
      <c r="Q11" s="135">
        <v>1000000</v>
      </c>
      <c r="R11" s="136">
        <v>0.04</v>
      </c>
      <c r="S11" s="175">
        <f t="shared" si="0"/>
        <v>1000000</v>
      </c>
      <c r="T11" s="175">
        <f t="shared" si="1"/>
        <v>1040000</v>
      </c>
      <c r="U11" s="175">
        <f t="shared" si="2"/>
        <v>1081600</v>
      </c>
      <c r="V11" s="175">
        <f t="shared" si="3"/>
        <v>1124864</v>
      </c>
      <c r="W11" s="175">
        <f t="shared" si="4"/>
        <v>1169858.5600000001</v>
      </c>
      <c r="X11" s="175">
        <f t="shared" si="5"/>
        <v>1216652.9024</v>
      </c>
      <c r="Y11" s="175">
        <f t="shared" si="6"/>
        <v>1265319.018496</v>
      </c>
      <c r="Z11" s="137">
        <f t="shared" si="7"/>
        <v>7898294.4808960008</v>
      </c>
      <c r="AA11" s="445">
        <f>SUM(Z11:Z13)</f>
        <v>165864184.09881598</v>
      </c>
      <c r="AB11" s="484" t="s">
        <v>662</v>
      </c>
    </row>
    <row r="12" spans="1:28" s="16" customFormat="1" ht="55.5" customHeight="1">
      <c r="A12" s="521"/>
      <c r="B12" s="505"/>
      <c r="C12" s="507"/>
      <c r="D12" s="528"/>
      <c r="E12" s="97" t="s">
        <v>37</v>
      </c>
      <c r="F12" s="344" t="s">
        <v>731</v>
      </c>
      <c r="G12" s="97" t="s">
        <v>35</v>
      </c>
      <c r="H12" s="100" t="s">
        <v>35</v>
      </c>
      <c r="I12" s="97" t="s">
        <v>318</v>
      </c>
      <c r="J12" s="100">
        <v>1</v>
      </c>
      <c r="K12" s="97">
        <v>1</v>
      </c>
      <c r="L12" s="97">
        <v>1</v>
      </c>
      <c r="M12" s="97">
        <v>1</v>
      </c>
      <c r="N12" s="97">
        <v>1</v>
      </c>
      <c r="O12" s="97">
        <v>1</v>
      </c>
      <c r="P12" s="169">
        <v>1</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9"/>
      <c r="AB12" s="480"/>
    </row>
    <row r="13" spans="1:28" s="16" customFormat="1" ht="87.75" customHeight="1" thickBot="1">
      <c r="A13" s="520"/>
      <c r="B13" s="512"/>
      <c r="C13" s="510"/>
      <c r="D13" s="511"/>
      <c r="E13" s="95" t="s">
        <v>54</v>
      </c>
      <c r="F13" s="357" t="s">
        <v>523</v>
      </c>
      <c r="G13" s="95" t="s">
        <v>35</v>
      </c>
      <c r="H13" s="101" t="s">
        <v>35</v>
      </c>
      <c r="I13" s="95" t="s">
        <v>318</v>
      </c>
      <c r="J13" s="101">
        <v>1</v>
      </c>
      <c r="K13" s="95">
        <v>2</v>
      </c>
      <c r="L13" s="95">
        <v>2</v>
      </c>
      <c r="M13" s="95">
        <v>3</v>
      </c>
      <c r="N13" s="95">
        <v>3</v>
      </c>
      <c r="O13" s="95">
        <v>4</v>
      </c>
      <c r="P13" s="161">
        <v>4</v>
      </c>
      <c r="Q13" s="162">
        <v>20000000</v>
      </c>
      <c r="R13" s="144">
        <v>0.04</v>
      </c>
      <c r="S13" s="147">
        <f t="shared" si="0"/>
        <v>20000000</v>
      </c>
      <c r="T13" s="147">
        <f t="shared" si="1"/>
        <v>20800000</v>
      </c>
      <c r="U13" s="147">
        <f t="shared" si="2"/>
        <v>21632000</v>
      </c>
      <c r="V13" s="147">
        <f t="shared" si="3"/>
        <v>22497280</v>
      </c>
      <c r="W13" s="147">
        <f t="shared" si="4"/>
        <v>23397171.199999999</v>
      </c>
      <c r="X13" s="147">
        <f t="shared" si="5"/>
        <v>24333058.048</v>
      </c>
      <c r="Y13" s="147">
        <f t="shared" si="6"/>
        <v>25306380.36992</v>
      </c>
      <c r="Z13" s="145">
        <f t="shared" si="7"/>
        <v>157965889.61791998</v>
      </c>
      <c r="AA13" s="419"/>
      <c r="AB13" s="481"/>
    </row>
    <row r="14" spans="1:28" s="16" customFormat="1" ht="96.75" customHeight="1">
      <c r="A14" s="519" t="s">
        <v>521</v>
      </c>
      <c r="B14" s="356" t="s">
        <v>703</v>
      </c>
      <c r="C14" s="96" t="s">
        <v>807</v>
      </c>
      <c r="D14" s="96" t="s">
        <v>539</v>
      </c>
      <c r="E14" s="96" t="s">
        <v>54</v>
      </c>
      <c r="F14" s="356" t="s">
        <v>524</v>
      </c>
      <c r="G14" s="96" t="s">
        <v>35</v>
      </c>
      <c r="H14" s="99" t="s">
        <v>35</v>
      </c>
      <c r="I14" s="96" t="s">
        <v>369</v>
      </c>
      <c r="J14" s="96">
        <v>2</v>
      </c>
      <c r="K14" s="96">
        <v>2</v>
      </c>
      <c r="L14" s="96">
        <v>2</v>
      </c>
      <c r="M14" s="96">
        <v>2</v>
      </c>
      <c r="N14" s="96">
        <v>2</v>
      </c>
      <c r="O14" s="96">
        <v>3</v>
      </c>
      <c r="P14" s="166">
        <v>3</v>
      </c>
      <c r="Q14" s="135">
        <v>500000000</v>
      </c>
      <c r="R14" s="136">
        <v>0.04</v>
      </c>
      <c r="S14" s="175">
        <f t="shared" si="0"/>
        <v>500000000</v>
      </c>
      <c r="T14" s="175">
        <f t="shared" si="1"/>
        <v>520000000</v>
      </c>
      <c r="U14" s="175">
        <f t="shared" si="2"/>
        <v>540800000</v>
      </c>
      <c r="V14" s="175">
        <f t="shared" si="3"/>
        <v>562432000</v>
      </c>
      <c r="W14" s="175">
        <f t="shared" si="4"/>
        <v>584929280</v>
      </c>
      <c r="X14" s="175">
        <f t="shared" si="5"/>
        <v>608326451.20000005</v>
      </c>
      <c r="Y14" s="175">
        <f t="shared" si="6"/>
        <v>632659509.24800003</v>
      </c>
      <c r="Z14" s="137">
        <f t="shared" si="7"/>
        <v>3949147240.448</v>
      </c>
      <c r="AA14" s="277">
        <f>Z14</f>
        <v>3949147240.448</v>
      </c>
      <c r="AB14" s="278" t="s">
        <v>662</v>
      </c>
    </row>
    <row r="15" spans="1:28" s="16" customFormat="1" ht="75.75" customHeight="1">
      <c r="A15" s="521"/>
      <c r="B15" s="505" t="s">
        <v>522</v>
      </c>
      <c r="C15" s="507" t="s">
        <v>808</v>
      </c>
      <c r="D15" s="510" t="s">
        <v>546</v>
      </c>
      <c r="E15" s="97" t="s">
        <v>37</v>
      </c>
      <c r="F15" s="344" t="s">
        <v>319</v>
      </c>
      <c r="G15" s="97" t="s">
        <v>35</v>
      </c>
      <c r="H15" s="100" t="s">
        <v>35</v>
      </c>
      <c r="I15" s="97">
        <v>0</v>
      </c>
      <c r="J15" s="97">
        <v>1</v>
      </c>
      <c r="K15" s="97">
        <v>0</v>
      </c>
      <c r="L15" s="97">
        <v>0</v>
      </c>
      <c r="M15" s="97">
        <v>0</v>
      </c>
      <c r="N15" s="97">
        <v>0</v>
      </c>
      <c r="O15" s="97">
        <v>0</v>
      </c>
      <c r="P15" s="169">
        <v>0</v>
      </c>
      <c r="Q15" s="143">
        <v>0</v>
      </c>
      <c r="R15" s="139">
        <v>0.04</v>
      </c>
      <c r="S15" s="140">
        <f t="shared" si="0"/>
        <v>0</v>
      </c>
      <c r="T15" s="140">
        <f t="shared" si="1"/>
        <v>0</v>
      </c>
      <c r="U15" s="140">
        <f t="shared" si="2"/>
        <v>0</v>
      </c>
      <c r="V15" s="140">
        <f t="shared" si="3"/>
        <v>0</v>
      </c>
      <c r="W15" s="140">
        <f t="shared" si="4"/>
        <v>0</v>
      </c>
      <c r="X15" s="140">
        <f t="shared" si="5"/>
        <v>0</v>
      </c>
      <c r="Y15" s="140">
        <f t="shared" si="6"/>
        <v>0</v>
      </c>
      <c r="Z15" s="141">
        <f t="shared" si="7"/>
        <v>0</v>
      </c>
      <c r="AA15" s="427">
        <f>SUM(Z15:Z16)</f>
        <v>689829448.08960009</v>
      </c>
      <c r="AB15" s="486" t="s">
        <v>662</v>
      </c>
    </row>
    <row r="16" spans="1:28" s="16" customFormat="1" ht="57" customHeight="1" thickBot="1">
      <c r="A16" s="522"/>
      <c r="B16" s="513"/>
      <c r="C16" s="514"/>
      <c r="D16" s="511"/>
      <c r="E16" s="98" t="s">
        <v>54</v>
      </c>
      <c r="F16" s="367" t="s">
        <v>368</v>
      </c>
      <c r="G16" s="102" t="s">
        <v>35</v>
      </c>
      <c r="H16" s="102" t="s">
        <v>159</v>
      </c>
      <c r="I16" s="102" t="s">
        <v>367</v>
      </c>
      <c r="J16" s="102">
        <v>0</v>
      </c>
      <c r="K16" s="29">
        <v>0.3</v>
      </c>
      <c r="L16" s="29">
        <v>0.4</v>
      </c>
      <c r="M16" s="29">
        <v>0.5</v>
      </c>
      <c r="N16" s="29">
        <v>0.6</v>
      </c>
      <c r="O16" s="29">
        <v>0.8</v>
      </c>
      <c r="P16" s="208">
        <v>1</v>
      </c>
      <c r="Q16" s="177">
        <v>100000000</v>
      </c>
      <c r="R16" s="146">
        <v>0.04</v>
      </c>
      <c r="S16" s="147">
        <f t="shared" si="0"/>
        <v>0</v>
      </c>
      <c r="T16" s="147">
        <f t="shared" si="1"/>
        <v>104000000</v>
      </c>
      <c r="U16" s="147">
        <f t="shared" si="2"/>
        <v>108160000</v>
      </c>
      <c r="V16" s="147">
        <f t="shared" si="3"/>
        <v>112486400</v>
      </c>
      <c r="W16" s="147">
        <f t="shared" si="4"/>
        <v>116985856</v>
      </c>
      <c r="X16" s="147">
        <f t="shared" si="5"/>
        <v>121665290.24000001</v>
      </c>
      <c r="Y16" s="147">
        <f t="shared" si="6"/>
        <v>126531901.84960002</v>
      </c>
      <c r="Z16" s="148">
        <f t="shared" si="7"/>
        <v>689829448.08960009</v>
      </c>
      <c r="AA16" s="497"/>
      <c r="AB16" s="481"/>
    </row>
    <row r="17" spans="1:16" ht="27.95" customHeight="1"/>
    <row r="18" spans="1:16" ht="21" customHeight="1">
      <c r="A18" s="526"/>
      <c r="B18" s="526"/>
      <c r="C18" s="526"/>
      <c r="D18" s="526"/>
      <c r="E18" s="526"/>
      <c r="F18" s="526"/>
      <c r="G18" s="526"/>
      <c r="H18" s="526"/>
      <c r="I18" s="526"/>
      <c r="J18" s="526"/>
      <c r="K18" s="526"/>
      <c r="L18" s="526"/>
      <c r="M18" s="526"/>
      <c r="N18" s="526"/>
      <c r="O18" s="526"/>
      <c r="P18" s="526"/>
    </row>
    <row r="19" spans="1:16" ht="18.95" customHeight="1"/>
    <row r="20" spans="1:16" ht="65.25" customHeight="1"/>
    <row r="21" spans="1:16" ht="60.75" customHeight="1"/>
    <row r="22" spans="1:16" ht="55.5" customHeight="1"/>
    <row r="23" spans="1:16" ht="81.75" customHeight="1"/>
  </sheetData>
  <sheetProtection algorithmName="SHA-512" hashValue="MrqAOqsNhdUebJAPQGdvAhHDB4mQ29W5/+nI7MVOT5s1O0Y6CHm1QOvTY8itKeful4DkabTMV5lhDbLkoaktJA==" saltValue="s9q9hvT8TQwhBOuwmroxBg==" spinCount="100000" sheet="1" objects="1" scenarios="1"/>
  <mergeCells count="37">
    <mergeCell ref="AB3:AB4"/>
    <mergeCell ref="A18:P18"/>
    <mergeCell ref="A11:A13"/>
    <mergeCell ref="B11:B13"/>
    <mergeCell ref="C11:C13"/>
    <mergeCell ref="A14:A16"/>
    <mergeCell ref="B15:B16"/>
    <mergeCell ref="C15:C16"/>
    <mergeCell ref="A5:A10"/>
    <mergeCell ref="B5:B9"/>
    <mergeCell ref="C5:C9"/>
    <mergeCell ref="F3:F4"/>
    <mergeCell ref="AB5:AB9"/>
    <mergeCell ref="AB11:AB13"/>
    <mergeCell ref="AB15:AB16"/>
    <mergeCell ref="D15:D16"/>
    <mergeCell ref="J3:P3"/>
    <mergeCell ref="G3:G4"/>
    <mergeCell ref="D11:D13"/>
    <mergeCell ref="A1:P1"/>
    <mergeCell ref="A3:A4"/>
    <mergeCell ref="B3:B4"/>
    <mergeCell ref="C3:C4"/>
    <mergeCell ref="D3:D4"/>
    <mergeCell ref="E3:E4"/>
    <mergeCell ref="A2:P2"/>
    <mergeCell ref="H3:H4"/>
    <mergeCell ref="I3:I4"/>
    <mergeCell ref="D5:D9"/>
    <mergeCell ref="AA5:AA9"/>
    <mergeCell ref="AA15:AA16"/>
    <mergeCell ref="AA11:AA13"/>
    <mergeCell ref="Q3:Q4"/>
    <mergeCell ref="R3:R4"/>
    <mergeCell ref="S3:Y3"/>
    <mergeCell ref="Z3:Z4"/>
    <mergeCell ref="AA3:AA4"/>
  </mergeCells>
  <pageMargins left="0.7" right="0.7" top="0.75" bottom="0.75" header="0.3" footer="0.3"/>
  <pageSetup orientation="portrait" horizontalDpi="1200" verticalDpi="1200" r:id="rId1"/>
  <ignoredErrors>
    <ignoredError sqref="Z13:Z16 AA11:AA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G5:G16</xm:sqref>
        </x14:dataValidation>
        <x14:dataValidation type="list" allowBlank="1" showInputMessage="1" showErrorMessage="1">
          <x14:formula1>
            <xm:f>Hoja2!$A$1:$A$3</xm:f>
          </x14:formula1>
          <xm:sqref>E5:E16</xm:sqref>
        </x14:dataValidation>
        <x14:dataValidation type="list" allowBlank="1" showInputMessage="1" showErrorMessage="1">
          <x14:formula1>
            <xm:f>Hoja2!$E$15:$E$26</xm:f>
          </x14:formula1>
          <xm:sqref>AB5:AB16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2.125" customWidth="1"/>
    <col min="4" max="4" width="11" customWidth="1"/>
    <col min="5" max="5" width="13.5" customWidth="1"/>
    <col min="6" max="6" width="31.125" customWidth="1"/>
    <col min="7" max="7" width="14.875" customWidth="1"/>
    <col min="8" max="8" width="21.125" customWidth="1"/>
    <col min="9" max="9" width="22.875" customWidth="1"/>
    <col min="10" max="16" width="7.12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6.5" thickBot="1">
      <c r="A2" s="464"/>
      <c r="B2" s="464"/>
      <c r="C2" s="464"/>
      <c r="D2" s="464"/>
      <c r="E2" s="464"/>
      <c r="F2" s="464"/>
      <c r="G2" s="464"/>
      <c r="H2" s="464"/>
      <c r="I2" s="464"/>
      <c r="J2" s="464"/>
      <c r="K2" s="464"/>
      <c r="L2" s="464"/>
      <c r="M2" s="464"/>
      <c r="N2" s="464"/>
      <c r="O2" s="464"/>
      <c r="P2" s="465"/>
      <c r="R2" s="324">
        <f>R5+1</f>
        <v>1.04</v>
      </c>
    </row>
    <row r="3" spans="1:28" ht="22.5" customHeight="1">
      <c r="A3" s="479" t="s">
        <v>20</v>
      </c>
      <c r="B3" s="472" t="s">
        <v>21</v>
      </c>
      <c r="C3" s="472" t="s">
        <v>22</v>
      </c>
      <c r="D3" s="472" t="s">
        <v>23</v>
      </c>
      <c r="E3" s="472" t="s">
        <v>24</v>
      </c>
      <c r="F3" s="472" t="s">
        <v>25</v>
      </c>
      <c r="G3" s="472" t="s">
        <v>26</v>
      </c>
      <c r="H3" s="472" t="s">
        <v>475</v>
      </c>
      <c r="I3" s="472" t="s">
        <v>27</v>
      </c>
      <c r="J3" s="551" t="s">
        <v>28</v>
      </c>
      <c r="K3" s="552"/>
      <c r="L3" s="552"/>
      <c r="M3" s="552"/>
      <c r="N3" s="552"/>
      <c r="O3" s="552"/>
      <c r="P3" s="553"/>
      <c r="Q3" s="487" t="s">
        <v>570</v>
      </c>
      <c r="R3" s="489" t="s">
        <v>571</v>
      </c>
      <c r="S3" s="491" t="s">
        <v>572</v>
      </c>
      <c r="T3" s="491"/>
      <c r="U3" s="491"/>
      <c r="V3" s="491"/>
      <c r="W3" s="491"/>
      <c r="X3" s="491"/>
      <c r="Y3" s="500"/>
      <c r="Z3" s="492" t="s">
        <v>573</v>
      </c>
      <c r="AA3" s="502" t="s">
        <v>574</v>
      </c>
      <c r="AB3" s="515" t="s">
        <v>634</v>
      </c>
    </row>
    <row r="4" spans="1:28" ht="22.5" customHeight="1" thickBot="1">
      <c r="A4" s="563"/>
      <c r="B4" s="564"/>
      <c r="C4" s="564"/>
      <c r="D4" s="564"/>
      <c r="E4" s="564"/>
      <c r="F4" s="564"/>
      <c r="G4" s="564"/>
      <c r="H4" s="564"/>
      <c r="I4" s="564"/>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71.099999999999994" customHeight="1">
      <c r="A5" s="565" t="s">
        <v>837</v>
      </c>
      <c r="B5" s="363" t="s">
        <v>321</v>
      </c>
      <c r="C5" s="99" t="s">
        <v>322</v>
      </c>
      <c r="D5" s="99" t="s">
        <v>551</v>
      </c>
      <c r="E5" s="99" t="s">
        <v>37</v>
      </c>
      <c r="F5" s="363" t="s">
        <v>323</v>
      </c>
      <c r="G5" s="99" t="s">
        <v>35</v>
      </c>
      <c r="H5" s="99" t="s">
        <v>35</v>
      </c>
      <c r="I5" s="99" t="s">
        <v>815</v>
      </c>
      <c r="J5" s="99">
        <v>2</v>
      </c>
      <c r="K5" s="99">
        <v>2</v>
      </c>
      <c r="L5" s="99">
        <v>2</v>
      </c>
      <c r="M5" s="99">
        <v>2</v>
      </c>
      <c r="N5" s="99">
        <v>2</v>
      </c>
      <c r="O5" s="99">
        <v>2</v>
      </c>
      <c r="P5" s="188">
        <v>2</v>
      </c>
      <c r="Q5" s="135">
        <v>0</v>
      </c>
      <c r="R5" s="136">
        <v>0.04</v>
      </c>
      <c r="S5" s="140">
        <f t="shared" ref="S5:S27" si="0">IF(J5&lt;&gt;0,Q5,0)</f>
        <v>0</v>
      </c>
      <c r="T5" s="140">
        <f t="shared" ref="T5:T27" si="1">IF(K5&lt;&gt;0,(IF(S5&lt;&gt;0,(S5*$R$2),($Q5*$R$2))),0)</f>
        <v>0</v>
      </c>
      <c r="U5" s="140">
        <f t="shared" ref="U5:U27" si="2">IF(L5&lt;&gt;0,(IF(T5&lt;&gt;0,(T5*$R$2),(($Q5*$R$2)*$R$2))),0)</f>
        <v>0</v>
      </c>
      <c r="V5" s="140">
        <f t="shared" ref="V5:V27" si="3">IF(M5&lt;&gt;0,(IF(U5&lt;&gt;0,(U5*$R$2),(($Q5*$R$2)*$R$2*$R$2))),0)</f>
        <v>0</v>
      </c>
      <c r="W5" s="140">
        <f t="shared" ref="W5:W27" si="4">IF(N5&lt;&gt;0,(IF(V5&lt;&gt;0,(V5*$R$2),(($Q5*$R$2)*$R$2*$R$2*$R$2))),0)</f>
        <v>0</v>
      </c>
      <c r="X5" s="140">
        <f t="shared" ref="X5:X27" si="5">IF(O5&lt;&gt;0,(IF(W5&lt;&gt;0,(W5*$R$2),(($Q5*$R$2)*$R$2*$R$2*$R$2*$R$2))),0)</f>
        <v>0</v>
      </c>
      <c r="Y5" s="140">
        <f t="shared" ref="Y5:Y27" si="6">IF(P5&lt;&gt;0,(IF(X5&lt;&gt;0,(X5*$R$2),(($Q5*$R$2)*$R$2*$R$2*$R$2*$R$2*$R$2))),0)</f>
        <v>0</v>
      </c>
      <c r="Z5" s="137">
        <f>SUM(S5:Y5)</f>
        <v>0</v>
      </c>
      <c r="AA5" s="277">
        <f>Z5</f>
        <v>0</v>
      </c>
      <c r="AB5" s="280" t="s">
        <v>673</v>
      </c>
    </row>
    <row r="6" spans="1:28" s="16" customFormat="1" ht="83.25" customHeight="1">
      <c r="A6" s="566"/>
      <c r="B6" s="508" t="s">
        <v>704</v>
      </c>
      <c r="C6" s="100" t="s">
        <v>324</v>
      </c>
      <c r="D6" s="543" t="s">
        <v>559</v>
      </c>
      <c r="E6" s="100" t="s">
        <v>54</v>
      </c>
      <c r="F6" s="341" t="s">
        <v>325</v>
      </c>
      <c r="G6" s="100" t="s">
        <v>35</v>
      </c>
      <c r="H6" s="100" t="s">
        <v>35</v>
      </c>
      <c r="I6" s="100">
        <v>0</v>
      </c>
      <c r="J6" s="30">
        <v>0.1</v>
      </c>
      <c r="K6" s="30">
        <v>0.1</v>
      </c>
      <c r="L6" s="30">
        <v>0.1</v>
      </c>
      <c r="M6" s="30">
        <v>0.1</v>
      </c>
      <c r="N6" s="30">
        <v>0.1</v>
      </c>
      <c r="O6" s="30">
        <v>0.1</v>
      </c>
      <c r="P6" s="190">
        <v>0.1</v>
      </c>
      <c r="Q6" s="287">
        <v>10800000</v>
      </c>
      <c r="R6" s="139">
        <v>0.04</v>
      </c>
      <c r="S6" s="140">
        <f t="shared" si="0"/>
        <v>10800000</v>
      </c>
      <c r="T6" s="140">
        <f t="shared" si="1"/>
        <v>11232000</v>
      </c>
      <c r="U6" s="140">
        <f t="shared" si="2"/>
        <v>11681280</v>
      </c>
      <c r="V6" s="140">
        <f t="shared" si="3"/>
        <v>12148531.200000001</v>
      </c>
      <c r="W6" s="140">
        <f t="shared" si="4"/>
        <v>12634472.448000001</v>
      </c>
      <c r="X6" s="140">
        <f t="shared" si="5"/>
        <v>13139851.345920002</v>
      </c>
      <c r="Y6" s="140">
        <f t="shared" si="6"/>
        <v>13665445.399756802</v>
      </c>
      <c r="Z6" s="141">
        <f t="shared" ref="Z6:Z16" si="7">SUM(S6:Y6)</f>
        <v>85301580.393676803</v>
      </c>
      <c r="AA6" s="427">
        <f>SUM(Z6:Z7)</f>
        <v>164284525.20263678</v>
      </c>
      <c r="AB6" s="486" t="s">
        <v>662</v>
      </c>
    </row>
    <row r="7" spans="1:28" s="16" customFormat="1" ht="106.5" customHeight="1" thickBot="1">
      <c r="A7" s="567"/>
      <c r="B7" s="509"/>
      <c r="C7" s="101" t="s">
        <v>326</v>
      </c>
      <c r="D7" s="555"/>
      <c r="E7" s="101" t="s">
        <v>37</v>
      </c>
      <c r="F7" s="345" t="s">
        <v>327</v>
      </c>
      <c r="G7" s="101" t="s">
        <v>35</v>
      </c>
      <c r="H7" s="101" t="s">
        <v>35</v>
      </c>
      <c r="I7" s="101" t="s">
        <v>328</v>
      </c>
      <c r="J7" s="101">
        <v>1</v>
      </c>
      <c r="K7" s="101">
        <v>1</v>
      </c>
      <c r="L7" s="101">
        <v>1</v>
      </c>
      <c r="M7" s="101">
        <v>1</v>
      </c>
      <c r="N7" s="101">
        <v>1</v>
      </c>
      <c r="O7" s="101">
        <v>1</v>
      </c>
      <c r="P7" s="209">
        <v>1</v>
      </c>
      <c r="Q7" s="162">
        <v>10000000</v>
      </c>
      <c r="R7" s="144">
        <v>0.04</v>
      </c>
      <c r="S7" s="147">
        <f t="shared" si="0"/>
        <v>10000000</v>
      </c>
      <c r="T7" s="147">
        <f t="shared" si="1"/>
        <v>10400000</v>
      </c>
      <c r="U7" s="147">
        <f t="shared" si="2"/>
        <v>10816000</v>
      </c>
      <c r="V7" s="147">
        <f t="shared" si="3"/>
        <v>11248640</v>
      </c>
      <c r="W7" s="147">
        <f t="shared" si="4"/>
        <v>11698585.6</v>
      </c>
      <c r="X7" s="147">
        <f t="shared" si="5"/>
        <v>12166529.024</v>
      </c>
      <c r="Y7" s="147">
        <f t="shared" si="6"/>
        <v>12653190.18496</v>
      </c>
      <c r="Z7" s="145">
        <f t="shared" si="7"/>
        <v>78982944.808959991</v>
      </c>
      <c r="AA7" s="497"/>
      <c r="AB7" s="481"/>
    </row>
    <row r="8" spans="1:28" s="16" customFormat="1" ht="103.5" customHeight="1">
      <c r="A8" s="519" t="s">
        <v>838</v>
      </c>
      <c r="B8" s="504" t="s">
        <v>705</v>
      </c>
      <c r="C8" s="96" t="s">
        <v>329</v>
      </c>
      <c r="D8" s="527" t="s">
        <v>553</v>
      </c>
      <c r="E8" s="96" t="s">
        <v>37</v>
      </c>
      <c r="F8" s="356" t="s">
        <v>732</v>
      </c>
      <c r="G8" s="96" t="s">
        <v>35</v>
      </c>
      <c r="H8" s="96" t="s">
        <v>35</v>
      </c>
      <c r="I8" s="75" t="s">
        <v>330</v>
      </c>
      <c r="J8" s="96">
        <v>1</v>
      </c>
      <c r="K8" s="96">
        <v>0</v>
      </c>
      <c r="L8" s="96">
        <v>0</v>
      </c>
      <c r="M8" s="96">
        <v>0</v>
      </c>
      <c r="N8" s="96">
        <v>0</v>
      </c>
      <c r="O8" s="96">
        <v>0</v>
      </c>
      <c r="P8" s="166">
        <v>0</v>
      </c>
      <c r="Q8" s="150">
        <v>0</v>
      </c>
      <c r="R8" s="136">
        <v>0.04</v>
      </c>
      <c r="S8" s="175">
        <f t="shared" si="0"/>
        <v>0</v>
      </c>
      <c r="T8" s="175">
        <f t="shared" si="1"/>
        <v>0</v>
      </c>
      <c r="U8" s="175">
        <f t="shared" si="2"/>
        <v>0</v>
      </c>
      <c r="V8" s="175">
        <f t="shared" si="3"/>
        <v>0</v>
      </c>
      <c r="W8" s="175">
        <f t="shared" si="4"/>
        <v>0</v>
      </c>
      <c r="X8" s="175">
        <f t="shared" si="5"/>
        <v>0</v>
      </c>
      <c r="Y8" s="175">
        <f t="shared" si="6"/>
        <v>0</v>
      </c>
      <c r="Z8" s="137">
        <f t="shared" si="7"/>
        <v>0</v>
      </c>
      <c r="AA8" s="494">
        <f>SUM(Z8:Z10)</f>
        <v>3244483495.5264006</v>
      </c>
      <c r="AB8" s="480" t="s">
        <v>662</v>
      </c>
    </row>
    <row r="9" spans="1:28" s="16" customFormat="1" ht="75.75" customHeight="1">
      <c r="A9" s="521"/>
      <c r="B9" s="505"/>
      <c r="C9" s="97" t="s">
        <v>809</v>
      </c>
      <c r="D9" s="528"/>
      <c r="E9" s="97" t="s">
        <v>54</v>
      </c>
      <c r="F9" s="341" t="s">
        <v>733</v>
      </c>
      <c r="G9" s="100" t="s">
        <v>35</v>
      </c>
      <c r="H9" s="100" t="s">
        <v>35</v>
      </c>
      <c r="I9" s="100" t="s">
        <v>331</v>
      </c>
      <c r="J9" s="30">
        <v>0.8</v>
      </c>
      <c r="K9" s="30">
        <v>0.85</v>
      </c>
      <c r="L9" s="30">
        <v>0.87</v>
      </c>
      <c r="M9" s="30">
        <v>0.9</v>
      </c>
      <c r="N9" s="30">
        <v>0.94</v>
      </c>
      <c r="O9" s="30">
        <v>0.97</v>
      </c>
      <c r="P9" s="190">
        <v>1</v>
      </c>
      <c r="Q9" s="142">
        <v>400000000</v>
      </c>
      <c r="R9" s="139">
        <v>0.04</v>
      </c>
      <c r="S9" s="140">
        <f t="shared" si="0"/>
        <v>400000000</v>
      </c>
      <c r="T9" s="140">
        <f t="shared" si="1"/>
        <v>416000000</v>
      </c>
      <c r="U9" s="140">
        <f t="shared" si="2"/>
        <v>432640000</v>
      </c>
      <c r="V9" s="140">
        <f t="shared" si="3"/>
        <v>449945600</v>
      </c>
      <c r="W9" s="140">
        <f t="shared" si="4"/>
        <v>467943424</v>
      </c>
      <c r="X9" s="140">
        <f t="shared" si="5"/>
        <v>486661160.96000004</v>
      </c>
      <c r="Y9" s="140">
        <f t="shared" si="6"/>
        <v>506127607.39840007</v>
      </c>
      <c r="Z9" s="141">
        <f t="shared" si="7"/>
        <v>3159317792.3584003</v>
      </c>
      <c r="AA9" s="427"/>
      <c r="AB9" s="480"/>
    </row>
    <row r="10" spans="1:28" s="16" customFormat="1" ht="82.5" customHeight="1">
      <c r="A10" s="521"/>
      <c r="B10" s="505"/>
      <c r="C10" s="97" t="s">
        <v>332</v>
      </c>
      <c r="D10" s="523"/>
      <c r="E10" s="100" t="s">
        <v>37</v>
      </c>
      <c r="F10" s="341" t="s">
        <v>734</v>
      </c>
      <c r="G10" s="97" t="s">
        <v>35</v>
      </c>
      <c r="H10" s="97" t="s">
        <v>35</v>
      </c>
      <c r="I10" s="97" t="s">
        <v>333</v>
      </c>
      <c r="J10" s="97">
        <v>0</v>
      </c>
      <c r="K10" s="97">
        <v>0</v>
      </c>
      <c r="L10" s="97">
        <v>0</v>
      </c>
      <c r="M10" s="54">
        <v>0</v>
      </c>
      <c r="N10" s="54">
        <v>0</v>
      </c>
      <c r="O10" s="54">
        <v>1</v>
      </c>
      <c r="P10" s="203">
        <v>0</v>
      </c>
      <c r="Q10" s="142">
        <v>70000000</v>
      </c>
      <c r="R10" s="139">
        <v>0.04</v>
      </c>
      <c r="S10" s="140">
        <f t="shared" si="0"/>
        <v>0</v>
      </c>
      <c r="T10" s="140">
        <f t="shared" si="1"/>
        <v>0</v>
      </c>
      <c r="U10" s="140">
        <f t="shared" si="2"/>
        <v>0</v>
      </c>
      <c r="V10" s="140">
        <f t="shared" si="3"/>
        <v>0</v>
      </c>
      <c r="W10" s="140">
        <f t="shared" si="4"/>
        <v>0</v>
      </c>
      <c r="X10" s="140">
        <f t="shared" si="5"/>
        <v>85165703.168000013</v>
      </c>
      <c r="Y10" s="140">
        <f t="shared" si="6"/>
        <v>0</v>
      </c>
      <c r="Z10" s="141">
        <f t="shared" si="7"/>
        <v>85165703.168000013</v>
      </c>
      <c r="AA10" s="427"/>
      <c r="AB10" s="485"/>
    </row>
    <row r="11" spans="1:28" s="16" customFormat="1" ht="100.5" customHeight="1">
      <c r="A11" s="521"/>
      <c r="B11" s="505" t="s">
        <v>706</v>
      </c>
      <c r="C11" s="97" t="s">
        <v>810</v>
      </c>
      <c r="D11" s="510" t="s">
        <v>553</v>
      </c>
      <c r="E11" s="97" t="s">
        <v>54</v>
      </c>
      <c r="F11" s="342" t="s">
        <v>735</v>
      </c>
      <c r="G11" s="94" t="s">
        <v>34</v>
      </c>
      <c r="H11" s="100" t="s">
        <v>159</v>
      </c>
      <c r="I11" s="94" t="s">
        <v>334</v>
      </c>
      <c r="J11" s="24">
        <v>0.4</v>
      </c>
      <c r="K11" s="24">
        <v>0.8</v>
      </c>
      <c r="L11" s="24">
        <v>1</v>
      </c>
      <c r="M11" s="97">
        <v>0</v>
      </c>
      <c r="N11" s="97">
        <v>0</v>
      </c>
      <c r="O11" s="97">
        <v>0</v>
      </c>
      <c r="P11" s="169">
        <v>0</v>
      </c>
      <c r="Q11" s="138">
        <v>0</v>
      </c>
      <c r="R11" s="139">
        <v>0.04</v>
      </c>
      <c r="S11" s="140">
        <f t="shared" si="0"/>
        <v>0</v>
      </c>
      <c r="T11" s="140">
        <f t="shared" si="1"/>
        <v>0</v>
      </c>
      <c r="U11" s="140">
        <f t="shared" si="2"/>
        <v>0</v>
      </c>
      <c r="V11" s="140">
        <f t="shared" si="3"/>
        <v>0</v>
      </c>
      <c r="W11" s="140">
        <f t="shared" si="4"/>
        <v>0</v>
      </c>
      <c r="X11" s="140">
        <f t="shared" si="5"/>
        <v>0</v>
      </c>
      <c r="Y11" s="140">
        <f t="shared" si="6"/>
        <v>0</v>
      </c>
      <c r="Z11" s="141">
        <f t="shared" si="7"/>
        <v>0</v>
      </c>
      <c r="AA11" s="427">
        <f>SUM(Z11:Z13)</f>
        <v>106782529.61792</v>
      </c>
      <c r="AB11" s="486" t="s">
        <v>662</v>
      </c>
    </row>
    <row r="12" spans="1:28" s="16" customFormat="1" ht="85.5" customHeight="1">
      <c r="A12" s="521"/>
      <c r="B12" s="505"/>
      <c r="C12" s="97" t="s">
        <v>796</v>
      </c>
      <c r="D12" s="528"/>
      <c r="E12" s="97" t="s">
        <v>37</v>
      </c>
      <c r="F12" s="344" t="s">
        <v>736</v>
      </c>
      <c r="G12" s="97" t="s">
        <v>35</v>
      </c>
      <c r="H12" s="74" t="s">
        <v>35</v>
      </c>
      <c r="I12" s="97" t="s">
        <v>335</v>
      </c>
      <c r="J12" s="97">
        <v>0</v>
      </c>
      <c r="K12" s="94">
        <v>0</v>
      </c>
      <c r="L12" s="100">
        <v>0</v>
      </c>
      <c r="M12" s="97">
        <v>1</v>
      </c>
      <c r="N12" s="97">
        <v>0</v>
      </c>
      <c r="O12" s="97">
        <v>0</v>
      </c>
      <c r="P12" s="169">
        <v>0</v>
      </c>
      <c r="Q12" s="142">
        <v>30000000</v>
      </c>
      <c r="R12" s="139">
        <v>0.04</v>
      </c>
      <c r="S12" s="140">
        <f t="shared" si="0"/>
        <v>0</v>
      </c>
      <c r="T12" s="140">
        <f t="shared" si="1"/>
        <v>0</v>
      </c>
      <c r="U12" s="140">
        <f t="shared" si="2"/>
        <v>0</v>
      </c>
      <c r="V12" s="140">
        <f t="shared" si="3"/>
        <v>33745920</v>
      </c>
      <c r="W12" s="140">
        <f t="shared" si="4"/>
        <v>0</v>
      </c>
      <c r="X12" s="140">
        <f t="shared" si="5"/>
        <v>0</v>
      </c>
      <c r="Y12" s="140">
        <f t="shared" si="6"/>
        <v>0</v>
      </c>
      <c r="Z12" s="141">
        <f t="shared" si="7"/>
        <v>33745920</v>
      </c>
      <c r="AA12" s="427"/>
      <c r="AB12" s="480"/>
    </row>
    <row r="13" spans="1:28" s="16" customFormat="1" ht="87.75" customHeight="1">
      <c r="A13" s="521"/>
      <c r="B13" s="505"/>
      <c r="C13" s="97" t="s">
        <v>796</v>
      </c>
      <c r="D13" s="523"/>
      <c r="E13" s="100" t="s">
        <v>54</v>
      </c>
      <c r="F13" s="341" t="s">
        <v>737</v>
      </c>
      <c r="G13" s="97" t="s">
        <v>35</v>
      </c>
      <c r="H13" s="97" t="s">
        <v>35</v>
      </c>
      <c r="I13" s="97" t="s">
        <v>336</v>
      </c>
      <c r="J13" s="97">
        <v>0</v>
      </c>
      <c r="K13" s="97">
        <v>0</v>
      </c>
      <c r="L13" s="67">
        <v>0</v>
      </c>
      <c r="M13" s="54">
        <v>0</v>
      </c>
      <c r="N13" s="54">
        <v>1</v>
      </c>
      <c r="O13" s="54">
        <v>1</v>
      </c>
      <c r="P13" s="203">
        <v>1</v>
      </c>
      <c r="Q13" s="142">
        <v>20000000</v>
      </c>
      <c r="R13" s="139">
        <v>0.04</v>
      </c>
      <c r="S13" s="140">
        <f t="shared" si="0"/>
        <v>0</v>
      </c>
      <c r="T13" s="140">
        <f t="shared" si="1"/>
        <v>0</v>
      </c>
      <c r="U13" s="140">
        <f t="shared" si="2"/>
        <v>0</v>
      </c>
      <c r="V13" s="140">
        <f t="shared" si="3"/>
        <v>0</v>
      </c>
      <c r="W13" s="140">
        <f t="shared" si="4"/>
        <v>23397171.199999999</v>
      </c>
      <c r="X13" s="140">
        <f t="shared" si="5"/>
        <v>24333058.048</v>
      </c>
      <c r="Y13" s="140">
        <f t="shared" si="6"/>
        <v>25306380.36992</v>
      </c>
      <c r="Z13" s="141">
        <f t="shared" si="7"/>
        <v>73036609.617919996</v>
      </c>
      <c r="AA13" s="427"/>
      <c r="AB13" s="485"/>
    </row>
    <row r="14" spans="1:28" s="16" customFormat="1" ht="72.75" customHeight="1">
      <c r="A14" s="521"/>
      <c r="B14" s="457" t="s">
        <v>707</v>
      </c>
      <c r="C14" s="97" t="s">
        <v>337</v>
      </c>
      <c r="D14" s="510" t="s">
        <v>560</v>
      </c>
      <c r="E14" s="97" t="s">
        <v>37</v>
      </c>
      <c r="F14" s="344" t="s">
        <v>738</v>
      </c>
      <c r="G14" s="97" t="s">
        <v>35</v>
      </c>
      <c r="H14" s="97" t="s">
        <v>35</v>
      </c>
      <c r="I14" s="68" t="s">
        <v>816</v>
      </c>
      <c r="J14" s="94">
        <v>0</v>
      </c>
      <c r="K14" s="94">
        <v>1</v>
      </c>
      <c r="L14" s="94">
        <v>0</v>
      </c>
      <c r="M14" s="94">
        <v>0</v>
      </c>
      <c r="N14" s="94">
        <v>0</v>
      </c>
      <c r="O14" s="94">
        <v>0</v>
      </c>
      <c r="P14" s="170">
        <v>0</v>
      </c>
      <c r="Q14" s="142">
        <v>1000000000</v>
      </c>
      <c r="R14" s="139">
        <v>0.04</v>
      </c>
      <c r="S14" s="140">
        <f t="shared" si="0"/>
        <v>0</v>
      </c>
      <c r="T14" s="140">
        <f t="shared" si="1"/>
        <v>1040000000</v>
      </c>
      <c r="U14" s="140">
        <f t="shared" si="2"/>
        <v>0</v>
      </c>
      <c r="V14" s="140">
        <f t="shared" si="3"/>
        <v>0</v>
      </c>
      <c r="W14" s="140">
        <f t="shared" si="4"/>
        <v>0</v>
      </c>
      <c r="X14" s="140">
        <f t="shared" si="5"/>
        <v>0</v>
      </c>
      <c r="Y14" s="140">
        <f t="shared" si="6"/>
        <v>0</v>
      </c>
      <c r="Z14" s="141">
        <f t="shared" si="7"/>
        <v>1040000000</v>
      </c>
      <c r="AA14" s="427">
        <f>SUM(Z14:Z17)</f>
        <v>5894806136.6272001</v>
      </c>
      <c r="AB14" s="486" t="s">
        <v>688</v>
      </c>
    </row>
    <row r="15" spans="1:28" s="16" customFormat="1" ht="75.75" customHeight="1">
      <c r="A15" s="521"/>
      <c r="B15" s="457"/>
      <c r="C15" s="97" t="s">
        <v>337</v>
      </c>
      <c r="D15" s="528"/>
      <c r="E15" s="97" t="s">
        <v>37</v>
      </c>
      <c r="F15" s="341" t="s">
        <v>739</v>
      </c>
      <c r="G15" s="100" t="s">
        <v>35</v>
      </c>
      <c r="H15" s="100" t="s">
        <v>35</v>
      </c>
      <c r="I15" s="100" t="s">
        <v>817</v>
      </c>
      <c r="J15" s="100">
        <v>0</v>
      </c>
      <c r="K15" s="100" t="s">
        <v>338</v>
      </c>
      <c r="L15" s="100" t="s">
        <v>338</v>
      </c>
      <c r="M15" s="100" t="s">
        <v>338</v>
      </c>
      <c r="N15" s="100" t="s">
        <v>338</v>
      </c>
      <c r="O15" s="100" t="s">
        <v>338</v>
      </c>
      <c r="P15" s="189" t="s">
        <v>338</v>
      </c>
      <c r="Q15" s="142">
        <v>700000000</v>
      </c>
      <c r="R15" s="139">
        <v>0.04</v>
      </c>
      <c r="S15" s="140">
        <f t="shared" si="0"/>
        <v>0</v>
      </c>
      <c r="T15" s="140">
        <f t="shared" si="1"/>
        <v>728000000</v>
      </c>
      <c r="U15" s="140">
        <f t="shared" si="2"/>
        <v>757120000</v>
      </c>
      <c r="V15" s="140">
        <f t="shared" si="3"/>
        <v>787404800</v>
      </c>
      <c r="W15" s="140">
        <f t="shared" si="4"/>
        <v>818900992</v>
      </c>
      <c r="X15" s="140">
        <f t="shared" si="5"/>
        <v>851657031.68000007</v>
      </c>
      <c r="Y15" s="140">
        <f t="shared" si="6"/>
        <v>885723312.94720006</v>
      </c>
      <c r="Z15" s="141">
        <f t="shared" si="7"/>
        <v>4828806136.6272001</v>
      </c>
      <c r="AA15" s="427"/>
      <c r="AB15" s="480"/>
    </row>
    <row r="16" spans="1:28" s="16" customFormat="1" ht="57" customHeight="1">
      <c r="A16" s="521"/>
      <c r="B16" s="457"/>
      <c r="C16" s="97" t="s">
        <v>337</v>
      </c>
      <c r="D16" s="528"/>
      <c r="E16" s="97" t="s">
        <v>37</v>
      </c>
      <c r="F16" s="344" t="s">
        <v>740</v>
      </c>
      <c r="G16" s="97" t="s">
        <v>35</v>
      </c>
      <c r="H16" s="97" t="s">
        <v>35</v>
      </c>
      <c r="I16" s="68" t="s">
        <v>339</v>
      </c>
      <c r="J16" s="97">
        <v>0</v>
      </c>
      <c r="K16" s="97">
        <v>1</v>
      </c>
      <c r="L16" s="97">
        <v>0</v>
      </c>
      <c r="M16" s="97">
        <v>0</v>
      </c>
      <c r="N16" s="97">
        <v>0</v>
      </c>
      <c r="O16" s="97">
        <v>0</v>
      </c>
      <c r="P16" s="169">
        <v>0</v>
      </c>
      <c r="Q16" s="142">
        <f>15000000 + 10000000</f>
        <v>25000000</v>
      </c>
      <c r="R16" s="139">
        <v>0.04</v>
      </c>
      <c r="S16" s="140">
        <f t="shared" si="0"/>
        <v>0</v>
      </c>
      <c r="T16" s="140">
        <f t="shared" si="1"/>
        <v>26000000</v>
      </c>
      <c r="U16" s="140">
        <f t="shared" si="2"/>
        <v>0</v>
      </c>
      <c r="V16" s="140">
        <f t="shared" si="3"/>
        <v>0</v>
      </c>
      <c r="W16" s="140">
        <f t="shared" si="4"/>
        <v>0</v>
      </c>
      <c r="X16" s="140">
        <f t="shared" si="5"/>
        <v>0</v>
      </c>
      <c r="Y16" s="140">
        <f t="shared" si="6"/>
        <v>0</v>
      </c>
      <c r="Z16" s="141">
        <f t="shared" si="7"/>
        <v>26000000</v>
      </c>
      <c r="AA16" s="427"/>
      <c r="AB16" s="480"/>
    </row>
    <row r="17" spans="1:28" s="16" customFormat="1" ht="48" customHeight="1">
      <c r="A17" s="521"/>
      <c r="B17" s="457"/>
      <c r="C17" s="97" t="s">
        <v>337</v>
      </c>
      <c r="D17" s="523"/>
      <c r="E17" s="100" t="s">
        <v>37</v>
      </c>
      <c r="F17" s="343" t="s">
        <v>741</v>
      </c>
      <c r="G17" s="94" t="s">
        <v>35</v>
      </c>
      <c r="H17" s="97" t="s">
        <v>35</v>
      </c>
      <c r="I17" s="94" t="s">
        <v>340</v>
      </c>
      <c r="J17" s="94">
        <v>1</v>
      </c>
      <c r="K17" s="94">
        <v>1</v>
      </c>
      <c r="L17" s="94">
        <v>1</v>
      </c>
      <c r="M17" s="94">
        <v>1</v>
      </c>
      <c r="N17" s="94">
        <v>1</v>
      </c>
      <c r="O17" s="94">
        <v>1</v>
      </c>
      <c r="P17" s="170">
        <v>1</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ref="Z17:Z27" si="8">SUM(S17:Y17)</f>
        <v>0</v>
      </c>
      <c r="AA17" s="427"/>
      <c r="AB17" s="485"/>
    </row>
    <row r="18" spans="1:28" s="16" customFormat="1" ht="47.25" customHeight="1">
      <c r="A18" s="521"/>
      <c r="B18" s="530" t="s">
        <v>795</v>
      </c>
      <c r="C18" s="532" t="s">
        <v>341</v>
      </c>
      <c r="D18" s="543" t="s">
        <v>561</v>
      </c>
      <c r="E18" s="100" t="s">
        <v>37</v>
      </c>
      <c r="F18" s="341" t="s">
        <v>342</v>
      </c>
      <c r="G18" s="100" t="s">
        <v>35</v>
      </c>
      <c r="H18" s="97" t="s">
        <v>35</v>
      </c>
      <c r="I18" s="100" t="s">
        <v>343</v>
      </c>
      <c r="J18" s="100">
        <v>1</v>
      </c>
      <c r="K18" s="100">
        <v>0</v>
      </c>
      <c r="L18" s="100">
        <v>1</v>
      </c>
      <c r="M18" s="100">
        <v>1</v>
      </c>
      <c r="N18" s="100">
        <v>0</v>
      </c>
      <c r="O18" s="100">
        <v>1</v>
      </c>
      <c r="P18" s="189">
        <v>1</v>
      </c>
      <c r="Q18" s="138">
        <v>5000000</v>
      </c>
      <c r="R18" s="139">
        <v>0.04</v>
      </c>
      <c r="S18" s="140">
        <f t="shared" si="0"/>
        <v>5000000</v>
      </c>
      <c r="T18" s="140">
        <f t="shared" si="1"/>
        <v>0</v>
      </c>
      <c r="U18" s="140">
        <f t="shared" si="2"/>
        <v>5408000</v>
      </c>
      <c r="V18" s="140">
        <f t="shared" si="3"/>
        <v>5624320</v>
      </c>
      <c r="W18" s="140">
        <f t="shared" si="4"/>
        <v>0</v>
      </c>
      <c r="X18" s="140">
        <f t="shared" si="5"/>
        <v>6083264.5120000001</v>
      </c>
      <c r="Y18" s="140">
        <f t="shared" si="6"/>
        <v>6326595.0924800001</v>
      </c>
      <c r="Z18" s="141">
        <f t="shared" si="8"/>
        <v>28442179.604480002</v>
      </c>
      <c r="AA18" s="427">
        <f>SUM(Z18:Z19)</f>
        <v>45016118.804480001</v>
      </c>
      <c r="AB18" s="486" t="s">
        <v>662</v>
      </c>
    </row>
    <row r="19" spans="1:28" s="16" customFormat="1" ht="47.25" customHeight="1">
      <c r="A19" s="521"/>
      <c r="B19" s="530"/>
      <c r="C19" s="532"/>
      <c r="D19" s="549"/>
      <c r="E19" s="100" t="s">
        <v>37</v>
      </c>
      <c r="F19" s="341" t="s">
        <v>344</v>
      </c>
      <c r="G19" s="100" t="s">
        <v>35</v>
      </c>
      <c r="H19" s="97" t="s">
        <v>35</v>
      </c>
      <c r="I19" s="100" t="s">
        <v>343</v>
      </c>
      <c r="J19" s="100">
        <v>0</v>
      </c>
      <c r="K19" s="100">
        <v>1</v>
      </c>
      <c r="L19" s="100">
        <v>0</v>
      </c>
      <c r="M19" s="100">
        <v>0</v>
      </c>
      <c r="N19" s="100">
        <v>1</v>
      </c>
      <c r="O19" s="100">
        <v>0</v>
      </c>
      <c r="P19" s="189">
        <v>0</v>
      </c>
      <c r="Q19" s="138">
        <v>7500000</v>
      </c>
      <c r="R19" s="139">
        <v>0.04</v>
      </c>
      <c r="S19" s="140">
        <f t="shared" si="0"/>
        <v>0</v>
      </c>
      <c r="T19" s="140">
        <f t="shared" si="1"/>
        <v>7800000</v>
      </c>
      <c r="U19" s="140">
        <f t="shared" si="2"/>
        <v>0</v>
      </c>
      <c r="V19" s="140">
        <f t="shared" si="3"/>
        <v>0</v>
      </c>
      <c r="W19" s="140">
        <f t="shared" si="4"/>
        <v>8773939.2000000011</v>
      </c>
      <c r="X19" s="140">
        <f t="shared" si="5"/>
        <v>0</v>
      </c>
      <c r="Y19" s="140">
        <f t="shared" si="6"/>
        <v>0</v>
      </c>
      <c r="Z19" s="141">
        <f t="shared" si="8"/>
        <v>16573939.200000001</v>
      </c>
      <c r="AA19" s="427"/>
      <c r="AB19" s="485"/>
    </row>
    <row r="20" spans="1:28" s="16" customFormat="1" ht="65.25" customHeight="1">
      <c r="A20" s="521"/>
      <c r="B20" s="505" t="s">
        <v>708</v>
      </c>
      <c r="C20" s="449" t="s">
        <v>345</v>
      </c>
      <c r="D20" s="510" t="s">
        <v>537</v>
      </c>
      <c r="E20" s="97" t="s">
        <v>37</v>
      </c>
      <c r="F20" s="342" t="s">
        <v>346</v>
      </c>
      <c r="G20" s="97" t="s">
        <v>35</v>
      </c>
      <c r="H20" s="97" t="s">
        <v>35</v>
      </c>
      <c r="I20" s="97">
        <v>0</v>
      </c>
      <c r="J20" s="97">
        <v>1</v>
      </c>
      <c r="K20" s="97">
        <v>0</v>
      </c>
      <c r="L20" s="97">
        <v>0</v>
      </c>
      <c r="M20" s="97">
        <v>0</v>
      </c>
      <c r="N20" s="97">
        <v>0</v>
      </c>
      <c r="O20" s="97">
        <v>0</v>
      </c>
      <c r="P20" s="169">
        <v>0</v>
      </c>
      <c r="Q20" s="138">
        <v>0</v>
      </c>
      <c r="R20" s="139">
        <v>0.04</v>
      </c>
      <c r="S20" s="140">
        <f t="shared" si="0"/>
        <v>0</v>
      </c>
      <c r="T20" s="140">
        <f t="shared" si="1"/>
        <v>0</v>
      </c>
      <c r="U20" s="140">
        <f t="shared" si="2"/>
        <v>0</v>
      </c>
      <c r="V20" s="140">
        <f t="shared" si="3"/>
        <v>0</v>
      </c>
      <c r="W20" s="140">
        <f t="shared" si="4"/>
        <v>0</v>
      </c>
      <c r="X20" s="140">
        <f t="shared" si="5"/>
        <v>0</v>
      </c>
      <c r="Y20" s="140">
        <f t="shared" si="6"/>
        <v>0</v>
      </c>
      <c r="Z20" s="141">
        <f t="shared" si="8"/>
        <v>0</v>
      </c>
      <c r="AA20" s="427">
        <f>SUM(Z20:Z21)</f>
        <v>1016348720.185344</v>
      </c>
      <c r="AB20" s="486" t="s">
        <v>662</v>
      </c>
    </row>
    <row r="21" spans="1:28" s="16" customFormat="1" ht="60.75" customHeight="1" thickBot="1">
      <c r="A21" s="522"/>
      <c r="B21" s="513"/>
      <c r="C21" s="460"/>
      <c r="D21" s="511"/>
      <c r="E21" s="98" t="s">
        <v>37</v>
      </c>
      <c r="F21" s="372" t="s">
        <v>347</v>
      </c>
      <c r="G21" s="98" t="s">
        <v>35</v>
      </c>
      <c r="H21" s="98" t="s">
        <v>35</v>
      </c>
      <c r="I21" s="98" t="s">
        <v>348</v>
      </c>
      <c r="J21" s="98">
        <v>0</v>
      </c>
      <c r="K21" s="98">
        <v>0</v>
      </c>
      <c r="L21" s="117">
        <v>1</v>
      </c>
      <c r="M21" s="117">
        <v>0</v>
      </c>
      <c r="N21" s="117">
        <v>1</v>
      </c>
      <c r="O21" s="117">
        <v>0</v>
      </c>
      <c r="P21" s="210">
        <v>1</v>
      </c>
      <c r="Q21" s="177">
        <v>289000000</v>
      </c>
      <c r="R21" s="146">
        <v>0.04</v>
      </c>
      <c r="S21" s="147">
        <f t="shared" si="0"/>
        <v>0</v>
      </c>
      <c r="T21" s="147">
        <f t="shared" si="1"/>
        <v>0</v>
      </c>
      <c r="U21" s="147">
        <f t="shared" si="2"/>
        <v>312582400</v>
      </c>
      <c r="V21" s="147">
        <f t="shared" si="3"/>
        <v>0</v>
      </c>
      <c r="W21" s="147">
        <f t="shared" si="4"/>
        <v>338089123.84000003</v>
      </c>
      <c r="X21" s="147">
        <f t="shared" si="5"/>
        <v>0</v>
      </c>
      <c r="Y21" s="147">
        <f t="shared" si="6"/>
        <v>365677196.34534401</v>
      </c>
      <c r="Z21" s="148">
        <f t="shared" si="8"/>
        <v>1016348720.185344</v>
      </c>
      <c r="AA21" s="497"/>
      <c r="AB21" s="481"/>
    </row>
    <row r="22" spans="1:28" s="16" customFormat="1" ht="62.25" customHeight="1">
      <c r="A22" s="568" t="s">
        <v>839</v>
      </c>
      <c r="B22" s="371" t="s">
        <v>349</v>
      </c>
      <c r="C22" s="74" t="s">
        <v>341</v>
      </c>
      <c r="D22" s="69" t="s">
        <v>537</v>
      </c>
      <c r="E22" s="74" t="s">
        <v>37</v>
      </c>
      <c r="F22" s="373" t="s">
        <v>350</v>
      </c>
      <c r="G22" s="74" t="s">
        <v>35</v>
      </c>
      <c r="H22" s="74" t="s">
        <v>35</v>
      </c>
      <c r="I22" s="74" t="s">
        <v>351</v>
      </c>
      <c r="J22" s="74">
        <v>1</v>
      </c>
      <c r="K22" s="74">
        <v>1</v>
      </c>
      <c r="L22" s="74">
        <v>1</v>
      </c>
      <c r="M22" s="74">
        <v>1</v>
      </c>
      <c r="N22" s="74">
        <v>1</v>
      </c>
      <c r="O22" s="74">
        <v>1</v>
      </c>
      <c r="P22" s="211">
        <v>1</v>
      </c>
      <c r="Q22" s="173">
        <v>0</v>
      </c>
      <c r="R22" s="174">
        <v>0.04</v>
      </c>
      <c r="S22" s="175">
        <f t="shared" si="0"/>
        <v>0</v>
      </c>
      <c r="T22" s="175">
        <f t="shared" si="1"/>
        <v>0</v>
      </c>
      <c r="U22" s="175">
        <f t="shared" si="2"/>
        <v>0</v>
      </c>
      <c r="V22" s="175">
        <f t="shared" si="3"/>
        <v>0</v>
      </c>
      <c r="W22" s="175">
        <f t="shared" si="4"/>
        <v>0</v>
      </c>
      <c r="X22" s="175">
        <f t="shared" si="5"/>
        <v>0</v>
      </c>
      <c r="Y22" s="175">
        <f t="shared" si="6"/>
        <v>0</v>
      </c>
      <c r="Z22" s="176">
        <f t="shared" si="8"/>
        <v>0</v>
      </c>
      <c r="AA22" s="277">
        <f>Z22</f>
        <v>0</v>
      </c>
      <c r="AB22" s="278" t="s">
        <v>673</v>
      </c>
    </row>
    <row r="23" spans="1:28" s="16" customFormat="1" ht="81.75" customHeight="1">
      <c r="A23" s="521"/>
      <c r="B23" s="505" t="s">
        <v>709</v>
      </c>
      <c r="C23" s="97" t="s">
        <v>352</v>
      </c>
      <c r="D23" s="543" t="s">
        <v>557</v>
      </c>
      <c r="E23" s="94" t="s">
        <v>37</v>
      </c>
      <c r="F23" s="341" t="s">
        <v>353</v>
      </c>
      <c r="G23" s="94" t="s">
        <v>35</v>
      </c>
      <c r="H23" s="94" t="s">
        <v>35</v>
      </c>
      <c r="I23" s="94">
        <v>0</v>
      </c>
      <c r="J23" s="94">
        <v>1</v>
      </c>
      <c r="K23" s="94">
        <v>0</v>
      </c>
      <c r="L23" s="94">
        <v>0</v>
      </c>
      <c r="M23" s="94">
        <v>0</v>
      </c>
      <c r="N23" s="94">
        <v>0</v>
      </c>
      <c r="O23" s="94">
        <v>0</v>
      </c>
      <c r="P23" s="170">
        <v>0</v>
      </c>
      <c r="Q23" s="142">
        <v>200000000</v>
      </c>
      <c r="R23" s="139">
        <v>0.04</v>
      </c>
      <c r="S23" s="140">
        <f t="shared" si="0"/>
        <v>200000000</v>
      </c>
      <c r="T23" s="140">
        <f t="shared" si="1"/>
        <v>0</v>
      </c>
      <c r="U23" s="140">
        <f t="shared" si="2"/>
        <v>0</v>
      </c>
      <c r="V23" s="140">
        <f t="shared" si="3"/>
        <v>0</v>
      </c>
      <c r="W23" s="140">
        <f t="shared" si="4"/>
        <v>0</v>
      </c>
      <c r="X23" s="140">
        <f t="shared" si="5"/>
        <v>0</v>
      </c>
      <c r="Y23" s="140">
        <f t="shared" si="6"/>
        <v>0</v>
      </c>
      <c r="Z23" s="141">
        <f t="shared" si="8"/>
        <v>200000000</v>
      </c>
      <c r="AA23" s="427">
        <f>SUM(Z23:Z25)</f>
        <v>1579658896.1792002</v>
      </c>
      <c r="AB23" s="486" t="s">
        <v>662</v>
      </c>
    </row>
    <row r="24" spans="1:28" s="16" customFormat="1" ht="60.75" customHeight="1">
      <c r="A24" s="521"/>
      <c r="B24" s="505"/>
      <c r="C24" s="97" t="s">
        <v>352</v>
      </c>
      <c r="D24" s="548"/>
      <c r="E24" s="94" t="s">
        <v>37</v>
      </c>
      <c r="F24" s="342" t="s">
        <v>354</v>
      </c>
      <c r="G24" s="94" t="s">
        <v>35</v>
      </c>
      <c r="H24" s="94" t="s">
        <v>35</v>
      </c>
      <c r="I24" s="94" t="s">
        <v>355</v>
      </c>
      <c r="J24" s="94">
        <v>0</v>
      </c>
      <c r="K24" s="94">
        <v>1</v>
      </c>
      <c r="L24" s="94">
        <v>1</v>
      </c>
      <c r="M24" s="94">
        <v>1</v>
      </c>
      <c r="N24" s="94">
        <v>1</v>
      </c>
      <c r="O24" s="94">
        <v>1</v>
      </c>
      <c r="P24" s="170">
        <v>1</v>
      </c>
      <c r="Q24" s="287">
        <v>0</v>
      </c>
      <c r="R24" s="139">
        <v>0.04</v>
      </c>
      <c r="S24" s="140">
        <f t="shared" si="0"/>
        <v>0</v>
      </c>
      <c r="T24" s="140">
        <f t="shared" si="1"/>
        <v>0</v>
      </c>
      <c r="U24" s="140">
        <f t="shared" si="2"/>
        <v>0</v>
      </c>
      <c r="V24" s="140">
        <f t="shared" si="3"/>
        <v>0</v>
      </c>
      <c r="W24" s="140">
        <f t="shared" si="4"/>
        <v>0</v>
      </c>
      <c r="X24" s="140">
        <f t="shared" si="5"/>
        <v>0</v>
      </c>
      <c r="Y24" s="140">
        <f t="shared" si="6"/>
        <v>0</v>
      </c>
      <c r="Z24" s="141">
        <f t="shared" si="8"/>
        <v>0</v>
      </c>
      <c r="AA24" s="427"/>
      <c r="AB24" s="480"/>
    </row>
    <row r="25" spans="1:28" s="16" customFormat="1" ht="100.5" customHeight="1" thickBot="1">
      <c r="A25" s="520"/>
      <c r="B25" s="512"/>
      <c r="C25" s="95" t="s">
        <v>352</v>
      </c>
      <c r="D25" s="555"/>
      <c r="E25" s="101" t="s">
        <v>37</v>
      </c>
      <c r="F25" s="345" t="s">
        <v>356</v>
      </c>
      <c r="G25" s="101" t="s">
        <v>35</v>
      </c>
      <c r="H25" s="95" t="s">
        <v>35</v>
      </c>
      <c r="I25" s="95" t="s">
        <v>355</v>
      </c>
      <c r="J25" s="101">
        <v>0</v>
      </c>
      <c r="K25" s="101">
        <v>1</v>
      </c>
      <c r="L25" s="101">
        <v>1</v>
      </c>
      <c r="M25" s="101">
        <v>1</v>
      </c>
      <c r="N25" s="101">
        <v>1</v>
      </c>
      <c r="O25" s="101">
        <v>1</v>
      </c>
      <c r="P25" s="209">
        <v>1</v>
      </c>
      <c r="Q25" s="142">
        <v>200000000</v>
      </c>
      <c r="R25" s="144">
        <v>0.04</v>
      </c>
      <c r="S25" s="147">
        <f t="shared" si="0"/>
        <v>0</v>
      </c>
      <c r="T25" s="147">
        <f t="shared" si="1"/>
        <v>208000000</v>
      </c>
      <c r="U25" s="147">
        <f t="shared" si="2"/>
        <v>216320000</v>
      </c>
      <c r="V25" s="147">
        <f t="shared" si="3"/>
        <v>224972800</v>
      </c>
      <c r="W25" s="147">
        <f t="shared" si="4"/>
        <v>233971712</v>
      </c>
      <c r="X25" s="147">
        <f t="shared" si="5"/>
        <v>243330580.48000002</v>
      </c>
      <c r="Y25" s="147">
        <f t="shared" si="6"/>
        <v>253063803.69920003</v>
      </c>
      <c r="Z25" s="145">
        <f t="shared" si="8"/>
        <v>1379658896.1792002</v>
      </c>
      <c r="AA25" s="497"/>
      <c r="AB25" s="481"/>
    </row>
    <row r="26" spans="1:28" s="16" customFormat="1" ht="63" customHeight="1">
      <c r="A26" s="519" t="s">
        <v>840</v>
      </c>
      <c r="B26" s="346" t="s">
        <v>357</v>
      </c>
      <c r="C26" s="96" t="s">
        <v>358</v>
      </c>
      <c r="D26" s="99" t="s">
        <v>557</v>
      </c>
      <c r="E26" s="93" t="s">
        <v>37</v>
      </c>
      <c r="F26" s="363" t="s">
        <v>743</v>
      </c>
      <c r="G26" s="93" t="s">
        <v>35</v>
      </c>
      <c r="H26" s="93" t="s">
        <v>35</v>
      </c>
      <c r="I26" s="93">
        <v>0</v>
      </c>
      <c r="J26" s="93">
        <v>1</v>
      </c>
      <c r="K26" s="93">
        <v>0</v>
      </c>
      <c r="L26" s="93">
        <v>0</v>
      </c>
      <c r="M26" s="93">
        <v>0</v>
      </c>
      <c r="N26" s="93">
        <v>0</v>
      </c>
      <c r="O26" s="93">
        <v>0</v>
      </c>
      <c r="P26" s="191">
        <v>0</v>
      </c>
      <c r="Q26" s="150">
        <v>150000000</v>
      </c>
      <c r="R26" s="136">
        <v>0.04</v>
      </c>
      <c r="S26" s="175">
        <f t="shared" si="0"/>
        <v>150000000</v>
      </c>
      <c r="T26" s="175">
        <f t="shared" si="1"/>
        <v>0</v>
      </c>
      <c r="U26" s="175">
        <f t="shared" si="2"/>
        <v>0</v>
      </c>
      <c r="V26" s="175">
        <f t="shared" si="3"/>
        <v>0</v>
      </c>
      <c r="W26" s="175">
        <f t="shared" si="4"/>
        <v>0</v>
      </c>
      <c r="X26" s="175">
        <f t="shared" si="5"/>
        <v>0</v>
      </c>
      <c r="Y26" s="175">
        <f t="shared" si="6"/>
        <v>0</v>
      </c>
      <c r="Z26" s="137">
        <f t="shared" si="8"/>
        <v>150000000</v>
      </c>
      <c r="AA26" s="277">
        <f>Z26</f>
        <v>150000000</v>
      </c>
      <c r="AB26" s="278" t="s">
        <v>662</v>
      </c>
    </row>
    <row r="27" spans="1:28" s="16" customFormat="1" ht="120" customHeight="1" thickBot="1">
      <c r="A27" s="522"/>
      <c r="B27" s="372" t="s">
        <v>359</v>
      </c>
      <c r="C27" s="98" t="s">
        <v>360</v>
      </c>
      <c r="D27" s="102" t="s">
        <v>538</v>
      </c>
      <c r="E27" s="98" t="s">
        <v>37</v>
      </c>
      <c r="F27" s="358" t="s">
        <v>361</v>
      </c>
      <c r="G27" s="98" t="s">
        <v>34</v>
      </c>
      <c r="H27" s="98" t="s">
        <v>35</v>
      </c>
      <c r="I27" s="98" t="s">
        <v>362</v>
      </c>
      <c r="J27" s="98">
        <v>6</v>
      </c>
      <c r="K27" s="98">
        <v>6</v>
      </c>
      <c r="L27" s="98">
        <v>6</v>
      </c>
      <c r="M27" s="98">
        <v>6</v>
      </c>
      <c r="N27" s="98">
        <v>6</v>
      </c>
      <c r="O27" s="98">
        <v>6</v>
      </c>
      <c r="P27" s="172">
        <v>6</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8"/>
        <v>0</v>
      </c>
      <c r="AA27" s="279">
        <f>Z27</f>
        <v>0</v>
      </c>
      <c r="AB27" s="281" t="s">
        <v>673</v>
      </c>
    </row>
    <row r="29" spans="1:28">
      <c r="A29" s="526"/>
      <c r="B29" s="526"/>
      <c r="C29" s="526"/>
      <c r="D29" s="526"/>
      <c r="E29" s="526"/>
      <c r="F29" s="526"/>
      <c r="G29" s="526"/>
      <c r="H29" s="526"/>
      <c r="I29" s="526"/>
      <c r="J29" s="526"/>
      <c r="K29" s="526"/>
      <c r="L29" s="526"/>
      <c r="M29" s="526"/>
      <c r="N29" s="526"/>
      <c r="O29" s="526"/>
      <c r="P29" s="526"/>
    </row>
  </sheetData>
  <sheetProtection algorithmName="SHA-512" hashValue="LqgfzEJHwKAWFEnAzhA9bOCR38mDwyAgRBwJ25ARBCweyG58/h+Fnq+cn4EZ0dfWOROBA39t5OHCT5/2QrB9Qw==" saltValue="nXsZxRgKw2MCF0syO8WSiw==" spinCount="100000" sheet="1" objects="1" scenarios="1"/>
  <mergeCells count="53">
    <mergeCell ref="AA18:AA19"/>
    <mergeCell ref="AB20:AB21"/>
    <mergeCell ref="AB23:AB25"/>
    <mergeCell ref="AB6:AB7"/>
    <mergeCell ref="A26:A27"/>
    <mergeCell ref="D6:D7"/>
    <mergeCell ref="D8:D10"/>
    <mergeCell ref="D11:D13"/>
    <mergeCell ref="D20:D21"/>
    <mergeCell ref="A22:A25"/>
    <mergeCell ref="B23:B25"/>
    <mergeCell ref="B11:B13"/>
    <mergeCell ref="D23:D25"/>
    <mergeCell ref="AB3:AB4"/>
    <mergeCell ref="AA20:AA21"/>
    <mergeCell ref="AA23:AA25"/>
    <mergeCell ref="Q3:Q4"/>
    <mergeCell ref="R3:R4"/>
    <mergeCell ref="S3:Y3"/>
    <mergeCell ref="Z3:Z4"/>
    <mergeCell ref="AA3:AA4"/>
    <mergeCell ref="AA6:AA7"/>
    <mergeCell ref="AA8:AA10"/>
    <mergeCell ref="AA11:AA13"/>
    <mergeCell ref="AA14:AA17"/>
    <mergeCell ref="AB8:AB10"/>
    <mergeCell ref="AB11:AB13"/>
    <mergeCell ref="AB14:AB17"/>
    <mergeCell ref="AB18:AB19"/>
    <mergeCell ref="A29:P29"/>
    <mergeCell ref="A5:A7"/>
    <mergeCell ref="B6:B7"/>
    <mergeCell ref="A8:A21"/>
    <mergeCell ref="B8:B10"/>
    <mergeCell ref="B14:B17"/>
    <mergeCell ref="B18:B19"/>
    <mergeCell ref="C18:C19"/>
    <mergeCell ref="B20:B21"/>
    <mergeCell ref="C20:C21"/>
    <mergeCell ref="D14:D17"/>
    <mergeCell ref="D18:D19"/>
    <mergeCell ref="A1:P1"/>
    <mergeCell ref="A2:P2"/>
    <mergeCell ref="A3:A4"/>
    <mergeCell ref="B3:B4"/>
    <mergeCell ref="F3:F4"/>
    <mergeCell ref="G3:G4"/>
    <mergeCell ref="H3:H4"/>
    <mergeCell ref="I3:I4"/>
    <mergeCell ref="J3:P3"/>
    <mergeCell ref="C3:C4"/>
    <mergeCell ref="D3:D4"/>
    <mergeCell ref="E3:E4"/>
  </mergeCells>
  <pageMargins left="0.7" right="0.7" top="0.75" bottom="0.75" header="0.3" footer="0.3"/>
  <pageSetup orientation="portrait" horizontalDpi="1200" verticalDpi="1200" r:id="rId1"/>
  <ignoredErrors>
    <ignoredError sqref="Z13:Z27 Z6:AA6 Z9 Z12 AA14 AA11 AA20 AA23 T6:Y6 T14:U16 W13:Y13 U21:Y21 T24:Y25"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E5:E27</xm:sqref>
        </x14:dataValidation>
        <x14:dataValidation type="list" allowBlank="1" showInputMessage="1" showErrorMessage="1">
          <x14:formula1>
            <xm:f>Hoja2!$C$15:$C$17</xm:f>
          </x14:formula1>
          <xm:sqref>G5:G27</xm:sqref>
        </x14:dataValidation>
        <x14:dataValidation type="list" allowBlank="1" showInputMessage="1" showErrorMessage="1">
          <x14:formula1>
            <xm:f>Hoja2!$E$15:$E$26</xm:f>
          </x14:formula1>
          <xm:sqref>AB5:AB27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70" zoomScaleNormal="70" zoomScalePageLayoutView="7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32</v>
      </c>
      <c r="C1" t="s">
        <v>0</v>
      </c>
      <c r="E1" t="s">
        <v>1</v>
      </c>
      <c r="G1" t="s">
        <v>31</v>
      </c>
      <c r="I1" t="s">
        <v>12</v>
      </c>
    </row>
    <row r="2" spans="1:9">
      <c r="A2" t="s">
        <v>54</v>
      </c>
      <c r="C2" t="s">
        <v>147</v>
      </c>
      <c r="E2" t="s">
        <v>63</v>
      </c>
      <c r="G2" t="s">
        <v>41</v>
      </c>
      <c r="I2" t="s">
        <v>13</v>
      </c>
    </row>
    <row r="3" spans="1:9">
      <c r="A3" t="s">
        <v>37</v>
      </c>
      <c r="C3" t="s">
        <v>184</v>
      </c>
      <c r="E3" t="s">
        <v>531</v>
      </c>
      <c r="G3" t="s">
        <v>532</v>
      </c>
      <c r="I3" t="s">
        <v>14</v>
      </c>
    </row>
    <row r="4" spans="1:9">
      <c r="C4" t="s">
        <v>226</v>
      </c>
      <c r="E4" t="s">
        <v>132</v>
      </c>
      <c r="G4" t="s">
        <v>533</v>
      </c>
      <c r="I4" t="s">
        <v>15</v>
      </c>
    </row>
    <row r="5" spans="1:9">
      <c r="C5" t="s">
        <v>299</v>
      </c>
      <c r="E5" t="s">
        <v>148</v>
      </c>
      <c r="I5" t="s">
        <v>16</v>
      </c>
    </row>
    <row r="6" spans="1:9">
      <c r="E6" t="s">
        <v>182</v>
      </c>
      <c r="I6" t="s">
        <v>228</v>
      </c>
    </row>
    <row r="7" spans="1:9">
      <c r="E7" t="s">
        <v>185</v>
      </c>
      <c r="I7" t="s">
        <v>17</v>
      </c>
    </row>
    <row r="8" spans="1:9">
      <c r="E8" t="s">
        <v>534</v>
      </c>
      <c r="I8" t="s">
        <v>18</v>
      </c>
    </row>
    <row r="9" spans="1:9">
      <c r="E9" t="s">
        <v>280</v>
      </c>
      <c r="I9" t="s">
        <v>229</v>
      </c>
    </row>
    <row r="10" spans="1:9">
      <c r="E10" t="s">
        <v>374</v>
      </c>
      <c r="I10" t="s">
        <v>19</v>
      </c>
    </row>
    <row r="11" spans="1:9">
      <c r="E11" t="s">
        <v>300</v>
      </c>
      <c r="I11" t="s">
        <v>304</v>
      </c>
    </row>
    <row r="12" spans="1:9">
      <c r="E12" t="s">
        <v>320</v>
      </c>
      <c r="I12" t="s">
        <v>305</v>
      </c>
    </row>
    <row r="15" spans="1:9">
      <c r="C15" t="s">
        <v>535</v>
      </c>
      <c r="E15" t="s">
        <v>676</v>
      </c>
      <c r="I15" t="s">
        <v>2</v>
      </c>
    </row>
    <row r="16" spans="1:9">
      <c r="C16" t="s">
        <v>34</v>
      </c>
      <c r="E16" t="s">
        <v>664</v>
      </c>
      <c r="I16" t="s">
        <v>3</v>
      </c>
    </row>
    <row r="17" spans="3:9">
      <c r="C17" t="s">
        <v>35</v>
      </c>
      <c r="E17" t="s">
        <v>663</v>
      </c>
      <c r="I17" t="s">
        <v>4</v>
      </c>
    </row>
    <row r="18" spans="3:9">
      <c r="E18" t="s">
        <v>675</v>
      </c>
      <c r="I18" t="s">
        <v>5</v>
      </c>
    </row>
    <row r="19" spans="3:9">
      <c r="E19" t="s">
        <v>682</v>
      </c>
      <c r="I19" t="s">
        <v>6</v>
      </c>
    </row>
    <row r="20" spans="3:9">
      <c r="C20" t="s">
        <v>35</v>
      </c>
      <c r="E20" t="s">
        <v>662</v>
      </c>
      <c r="I20" t="s">
        <v>7</v>
      </c>
    </row>
    <row r="21" spans="3:9">
      <c r="C21" t="s">
        <v>159</v>
      </c>
      <c r="E21" t="s">
        <v>661</v>
      </c>
      <c r="I21" t="s">
        <v>8</v>
      </c>
    </row>
    <row r="22" spans="3:9">
      <c r="E22" t="s">
        <v>660</v>
      </c>
      <c r="I22" t="s">
        <v>9</v>
      </c>
    </row>
    <row r="23" spans="3:9">
      <c r="E23" t="s">
        <v>659</v>
      </c>
      <c r="I23" t="s">
        <v>301</v>
      </c>
    </row>
    <row r="24" spans="3:9">
      <c r="E24" t="s">
        <v>658</v>
      </c>
      <c r="I24" t="s">
        <v>536</v>
      </c>
    </row>
    <row r="25" spans="3:9">
      <c r="E25" t="s">
        <v>657</v>
      </c>
      <c r="I25" t="s">
        <v>302</v>
      </c>
    </row>
    <row r="26" spans="3:9">
      <c r="E26" t="s">
        <v>673</v>
      </c>
      <c r="I26" t="s">
        <v>10</v>
      </c>
    </row>
    <row r="27" spans="3:9">
      <c r="I27" t="s">
        <v>11</v>
      </c>
    </row>
    <row r="28" spans="3:9">
      <c r="I28" t="s">
        <v>227</v>
      </c>
    </row>
    <row r="29" spans="3:9">
      <c r="I29"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
  <sheetViews>
    <sheetView topLeftCell="A2" zoomScale="80" zoomScaleNormal="80" zoomScalePageLayoutView="40" workbookViewId="0">
      <pane ySplit="2" topLeftCell="A4" activePane="bottomLeft" state="frozen"/>
      <selection activeCell="A11" sqref="A11:E11"/>
      <selection pane="bottomLeft" activeCell="A2" sqref="A2:A3"/>
    </sheetView>
  </sheetViews>
  <sheetFormatPr baseColWidth="10" defaultColWidth="10.875" defaultRowHeight="15.75"/>
  <cols>
    <col min="1" max="1" width="83.5" style="220" customWidth="1"/>
    <col min="2" max="2" width="15.5" style="220" customWidth="1"/>
    <col min="3" max="5" width="24" style="220" customWidth="1"/>
    <col min="6" max="19" width="25.5" style="220" customWidth="1"/>
    <col min="20" max="20" width="22.125" style="220" customWidth="1"/>
    <col min="21" max="16384" width="10.875" style="220"/>
  </cols>
  <sheetData>
    <row r="1" spans="1:20" ht="51" customHeight="1" thickBot="1">
      <c r="A1" s="405"/>
      <c r="B1" s="405"/>
      <c r="C1" s="405"/>
      <c r="D1" s="405"/>
      <c r="E1" s="405"/>
    </row>
    <row r="2" spans="1:20" ht="26.25" customHeight="1">
      <c r="A2" s="411" t="s">
        <v>577</v>
      </c>
      <c r="B2" s="411" t="s">
        <v>23</v>
      </c>
      <c r="C2" s="409" t="s">
        <v>633</v>
      </c>
      <c r="D2" s="410"/>
      <c r="E2" s="410"/>
      <c r="F2" s="380" t="s">
        <v>634</v>
      </c>
      <c r="G2" s="397"/>
      <c r="H2" s="397"/>
      <c r="I2" s="397"/>
      <c r="J2" s="397"/>
      <c r="K2" s="397"/>
      <c r="L2" s="397"/>
      <c r="M2" s="397"/>
      <c r="N2" s="397"/>
      <c r="O2" s="381"/>
      <c r="P2" s="381"/>
      <c r="Q2" s="381"/>
      <c r="R2" s="381"/>
      <c r="S2" s="381"/>
      <c r="T2" s="383"/>
    </row>
    <row r="3" spans="1:20" ht="54" customHeight="1">
      <c r="A3" s="412"/>
      <c r="B3" s="412"/>
      <c r="C3" s="228" t="s">
        <v>592</v>
      </c>
      <c r="D3" s="228" t="s">
        <v>593</v>
      </c>
      <c r="E3" s="229" t="s">
        <v>635</v>
      </c>
      <c r="F3" s="240" t="s">
        <v>671</v>
      </c>
      <c r="G3" s="241" t="s">
        <v>664</v>
      </c>
      <c r="H3" s="241" t="s">
        <v>663</v>
      </c>
      <c r="I3" s="241" t="s">
        <v>682</v>
      </c>
      <c r="J3" s="241" t="s">
        <v>675</v>
      </c>
      <c r="K3" s="241" t="s">
        <v>662</v>
      </c>
      <c r="L3" s="241" t="s">
        <v>661</v>
      </c>
      <c r="M3" s="241" t="s">
        <v>660</v>
      </c>
      <c r="N3" s="241" t="s">
        <v>659</v>
      </c>
      <c r="O3" s="241" t="s">
        <v>658</v>
      </c>
      <c r="P3" s="290" t="s">
        <v>657</v>
      </c>
      <c r="Q3" s="290" t="s">
        <v>673</v>
      </c>
      <c r="R3" s="241" t="s">
        <v>637</v>
      </c>
      <c r="S3" s="241" t="s">
        <v>638</v>
      </c>
      <c r="T3" s="242" t="s">
        <v>639</v>
      </c>
    </row>
    <row r="4" spans="1:20" ht="22.5" customHeight="1">
      <c r="A4" s="406" t="s">
        <v>578</v>
      </c>
      <c r="B4" s="406"/>
      <c r="C4" s="406"/>
      <c r="D4" s="406"/>
      <c r="E4" s="407"/>
      <c r="F4" s="384"/>
      <c r="G4" s="396"/>
      <c r="H4" s="396"/>
      <c r="I4" s="396"/>
      <c r="J4" s="396"/>
      <c r="K4" s="396"/>
      <c r="L4" s="396"/>
      <c r="M4" s="396"/>
      <c r="N4" s="396"/>
      <c r="O4" s="385"/>
      <c r="P4" s="385"/>
      <c r="Q4" s="385"/>
      <c r="R4" s="385"/>
      <c r="S4" s="385"/>
      <c r="T4" s="387"/>
    </row>
    <row r="5" spans="1:20" ht="20.25" customHeight="1">
      <c r="A5" s="403" t="s">
        <v>579</v>
      </c>
      <c r="B5" s="403"/>
      <c r="C5" s="403"/>
      <c r="D5" s="403"/>
      <c r="E5" s="404"/>
      <c r="F5" s="291">
        <f>F7+F8+F10+F11+F12+F14+F15+F17+F18+F20+F21+F23+F24+F26</f>
        <v>1875860389.6550922</v>
      </c>
      <c r="G5" s="292">
        <f t="shared" ref="G5:Q5" si="0">G7+G8+G10+G11+G12+G14+G15+G17+G18+G20+G21+G23+G24+G26</f>
        <v>0</v>
      </c>
      <c r="H5" s="292">
        <f t="shared" si="0"/>
        <v>394914724.04480004</v>
      </c>
      <c r="I5" s="292">
        <f t="shared" si="0"/>
        <v>0</v>
      </c>
      <c r="J5" s="292">
        <f t="shared" si="0"/>
        <v>394914724.04480004</v>
      </c>
      <c r="K5" s="292">
        <f t="shared" si="0"/>
        <v>0</v>
      </c>
      <c r="L5" s="292">
        <f t="shared" si="0"/>
        <v>0</v>
      </c>
      <c r="M5" s="292">
        <f t="shared" si="0"/>
        <v>1875860389.6550922</v>
      </c>
      <c r="N5" s="292">
        <f t="shared" si="0"/>
        <v>0</v>
      </c>
      <c r="O5" s="292">
        <f t="shared" si="0"/>
        <v>0</v>
      </c>
      <c r="P5" s="292">
        <f t="shared" si="0"/>
        <v>0</v>
      </c>
      <c r="Q5" s="292">
        <f t="shared" si="0"/>
        <v>0</v>
      </c>
      <c r="R5" s="245"/>
      <c r="S5" s="245"/>
      <c r="T5" s="246"/>
    </row>
    <row r="6" spans="1:20">
      <c r="A6" s="421" t="s">
        <v>594</v>
      </c>
      <c r="B6" s="422"/>
      <c r="C6" s="422"/>
      <c r="D6" s="423"/>
      <c r="E6" s="408">
        <f>D7+D10+D14+D17+D20+D23+D26</f>
        <v>4541550227.3997841</v>
      </c>
      <c r="F6" s="390"/>
      <c r="G6" s="391"/>
      <c r="H6" s="391"/>
      <c r="I6" s="391"/>
      <c r="J6" s="391"/>
      <c r="K6" s="391"/>
      <c r="L6" s="391"/>
      <c r="M6" s="391"/>
      <c r="N6" s="391"/>
      <c r="O6" s="392"/>
      <c r="P6" s="392"/>
      <c r="Q6" s="392"/>
      <c r="R6" s="392"/>
      <c r="S6" s="392"/>
      <c r="T6" s="394">
        <f>S7+S10+S14+S17+S20+S23+S26</f>
        <v>4541550227.3997841</v>
      </c>
    </row>
    <row r="7" spans="1:20" ht="50.25" customHeight="1">
      <c r="A7" s="340" t="str">
        <f>'EXCELENCIA ACADÉMICA'!B5</f>
        <v xml:space="preserve">Participación de la comunidad académica en espacios de producción, difusión e intercambio de conocimientos disciplinares, pedagógicos y científicos, discusión académica sobre problemáticas sociales, culturales, económicas, tecnológicas entre otras.  </v>
      </c>
      <c r="B7" s="68" t="str">
        <f>'EXCELENCIA ACADÉMICA'!D5</f>
        <v>MEDIA
(71%)</v>
      </c>
      <c r="C7" s="141">
        <f>'EXCELENCIA ACADÉMICA'!AA5</f>
        <v>789829448.08960009</v>
      </c>
      <c r="D7" s="393">
        <f>SUM(C7:C8)</f>
        <v>789829448.08960009</v>
      </c>
      <c r="E7" s="408"/>
      <c r="F7" s="233"/>
      <c r="G7" s="288"/>
      <c r="H7" s="288">
        <f>C7/2</f>
        <v>394914724.04480004</v>
      </c>
      <c r="I7" s="288"/>
      <c r="J7" s="288">
        <f>C7/2</f>
        <v>394914724.04480004</v>
      </c>
      <c r="K7" s="288"/>
      <c r="L7" s="288"/>
      <c r="M7" s="288"/>
      <c r="N7" s="288"/>
      <c r="O7" s="227"/>
      <c r="P7" s="227"/>
      <c r="Q7" s="227"/>
      <c r="R7" s="227">
        <f>SUM(F7:Q7)</f>
        <v>789829448.08960009</v>
      </c>
      <c r="S7" s="393">
        <f>SUM(R7:R8)</f>
        <v>789829448.08960009</v>
      </c>
      <c r="T7" s="395"/>
    </row>
    <row r="8" spans="1:20" ht="39.75" customHeight="1">
      <c r="A8" s="341" t="str">
        <f>'EXCELENCIA ACADÉMICA'!B7</f>
        <v xml:space="preserve">Desarrollo de espacios reflexivos sobre una educación innovadora e inclusiva que dinamice la formación integral de los estudiantes. </v>
      </c>
      <c r="B8" s="214" t="str">
        <f>'EXCELENCIA ACADÉMICA'!D7</f>
        <v>ALTA
(87%)</v>
      </c>
      <c r="C8" s="141">
        <f>'EXCELENCIA ACADÉMICA'!AA7</f>
        <v>0</v>
      </c>
      <c r="D8" s="393"/>
      <c r="E8" s="408"/>
      <c r="F8" s="233"/>
      <c r="G8" s="288"/>
      <c r="H8" s="288"/>
      <c r="I8" s="288"/>
      <c r="J8" s="288"/>
      <c r="K8" s="288"/>
      <c r="L8" s="288"/>
      <c r="M8" s="288"/>
      <c r="N8" s="288"/>
      <c r="O8" s="227"/>
      <c r="P8" s="227"/>
      <c r="Q8" s="227">
        <f>C8</f>
        <v>0</v>
      </c>
      <c r="R8" s="227">
        <f>SUM(F8:Q8)</f>
        <v>0</v>
      </c>
      <c r="S8" s="393"/>
      <c r="T8" s="395"/>
    </row>
    <row r="9" spans="1:20">
      <c r="A9" s="438" t="s">
        <v>595</v>
      </c>
      <c r="B9" s="439"/>
      <c r="C9" s="439"/>
      <c r="D9" s="440"/>
      <c r="E9" s="408"/>
      <c r="F9" s="400"/>
      <c r="G9" s="401"/>
      <c r="H9" s="401"/>
      <c r="I9" s="401"/>
      <c r="J9" s="401"/>
      <c r="K9" s="401"/>
      <c r="L9" s="401"/>
      <c r="M9" s="401"/>
      <c r="N9" s="401"/>
      <c r="O9" s="402"/>
      <c r="P9" s="402"/>
      <c r="Q9" s="402"/>
      <c r="R9" s="402"/>
      <c r="S9" s="402"/>
      <c r="T9" s="395"/>
    </row>
    <row r="10" spans="1:20" ht="49.5" customHeight="1">
      <c r="A10" s="342" t="str">
        <f>'EXCELENCIA ACADÉMICA'!B8</f>
        <v>Fortalecer la articulación de manera sistémica de la ciencia, la tecnología, la innovación y la creatividad  o la educación en los procesos misionales de la Institución.</v>
      </c>
      <c r="B10" s="212" t="str">
        <f>'EXCELENCIA ACADÉMICA'!D8</f>
        <v>ALTA
(100%)</v>
      </c>
      <c r="C10" s="141">
        <f>'EXCELENCIA ACADÉMICA'!AA8</f>
        <v>0</v>
      </c>
      <c r="D10" s="393">
        <f>SUM(C10:C12)</f>
        <v>0</v>
      </c>
      <c r="E10" s="408"/>
      <c r="F10" s="233"/>
      <c r="G10" s="288"/>
      <c r="H10" s="288"/>
      <c r="I10" s="288"/>
      <c r="J10" s="288"/>
      <c r="K10" s="288"/>
      <c r="L10" s="288"/>
      <c r="M10" s="288"/>
      <c r="N10" s="288"/>
      <c r="O10" s="227"/>
      <c r="P10" s="227"/>
      <c r="Q10" s="283">
        <f>C10</f>
        <v>0</v>
      </c>
      <c r="R10" s="227">
        <f>SUM(F10:Q10)</f>
        <v>0</v>
      </c>
      <c r="S10" s="393">
        <f>SUM(R10:R12)</f>
        <v>0</v>
      </c>
      <c r="T10" s="395"/>
    </row>
    <row r="11" spans="1:20" ht="50.25" customHeight="1">
      <c r="A11" s="342" t="str">
        <f>'EXCELENCIA ACADÉMICA'!B9</f>
        <v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v>
      </c>
      <c r="B11" s="212" t="str">
        <f>'EXCELENCIA ACADÉMICA'!D9</f>
        <v>MEDIA
(67%)</v>
      </c>
      <c r="C11" s="141">
        <f>'EXCELENCIA ACADÉMICA'!AA9</f>
        <v>0</v>
      </c>
      <c r="D11" s="393"/>
      <c r="E11" s="408"/>
      <c r="F11" s="233"/>
      <c r="G11" s="288"/>
      <c r="H11" s="288"/>
      <c r="I11" s="288"/>
      <c r="J11" s="288"/>
      <c r="K11" s="288"/>
      <c r="L11" s="288"/>
      <c r="M11" s="288"/>
      <c r="N11" s="288"/>
      <c r="O11" s="227"/>
      <c r="P11" s="227"/>
      <c r="Q11" s="283">
        <f>C11</f>
        <v>0</v>
      </c>
      <c r="R11" s="227">
        <f>SUM(F11:Q11)</f>
        <v>0</v>
      </c>
      <c r="S11" s="393"/>
      <c r="T11" s="395"/>
    </row>
    <row r="12" spans="1:20" ht="34.5" customHeight="1">
      <c r="A12" s="342" t="str">
        <f>'EXCELENCIA ACADÉMICA'!B10</f>
        <v>Fomentar la internacionalización del currículo en función de la doble titulación.</v>
      </c>
      <c r="B12" s="212" t="str">
        <f>'EXCELENCIA ACADÉMICA'!D10</f>
        <v>ALTA
(100%)</v>
      </c>
      <c r="C12" s="141">
        <f>'EXCELENCIA ACADÉMICA'!AA10</f>
        <v>0</v>
      </c>
      <c r="D12" s="393"/>
      <c r="E12" s="408"/>
      <c r="F12" s="233"/>
      <c r="G12" s="288"/>
      <c r="H12" s="288"/>
      <c r="I12" s="288"/>
      <c r="J12" s="288"/>
      <c r="K12" s="288"/>
      <c r="L12" s="288"/>
      <c r="M12" s="288"/>
      <c r="N12" s="288"/>
      <c r="O12" s="227"/>
      <c r="P12" s="227"/>
      <c r="Q12" s="283">
        <f>C12</f>
        <v>0</v>
      </c>
      <c r="R12" s="227">
        <f>SUM(F12:Q12)</f>
        <v>0</v>
      </c>
      <c r="S12" s="393"/>
      <c r="T12" s="395"/>
    </row>
    <row r="13" spans="1:20">
      <c r="A13" s="441" t="s">
        <v>596</v>
      </c>
      <c r="B13" s="442"/>
      <c r="C13" s="442"/>
      <c r="D13" s="443"/>
      <c r="E13" s="408"/>
      <c r="F13" s="400"/>
      <c r="G13" s="401"/>
      <c r="H13" s="401"/>
      <c r="I13" s="401"/>
      <c r="J13" s="401"/>
      <c r="K13" s="401"/>
      <c r="L13" s="401"/>
      <c r="M13" s="401"/>
      <c r="N13" s="401"/>
      <c r="O13" s="402"/>
      <c r="P13" s="402"/>
      <c r="Q13" s="402"/>
      <c r="R13" s="402"/>
      <c r="S13" s="402"/>
      <c r="T13" s="395"/>
    </row>
    <row r="14" spans="1:20" ht="42" customHeight="1">
      <c r="A14" s="343" t="str">
        <f>'EXCELENCIA ACADÉMICA'!B11</f>
        <v>Fortalecer la evaluación curricular en los  criterios de pertinencia, congruencia, transcendencia y equidad de los programas académicos.</v>
      </c>
      <c r="B14" s="37" t="str">
        <f>'EXCELENCIA ACADÉMICA'!D11</f>
        <v>ALTA
(100%)</v>
      </c>
      <c r="C14" s="141">
        <f>'EXCELENCIA ACADÉMICA'!AA11</f>
        <v>0</v>
      </c>
      <c r="D14" s="416">
        <f>SUM(C14:C15)</f>
        <v>0</v>
      </c>
      <c r="E14" s="408"/>
      <c r="F14" s="233"/>
      <c r="G14" s="288"/>
      <c r="H14" s="288"/>
      <c r="I14" s="288"/>
      <c r="J14" s="288"/>
      <c r="K14" s="288"/>
      <c r="L14" s="288"/>
      <c r="M14" s="288"/>
      <c r="N14" s="288"/>
      <c r="O14" s="227"/>
      <c r="P14" s="227"/>
      <c r="Q14" s="283">
        <f>C14</f>
        <v>0</v>
      </c>
      <c r="R14" s="227">
        <f>SUM(F14:Q14)</f>
        <v>0</v>
      </c>
      <c r="S14" s="393">
        <f>SUM(R14:R15)</f>
        <v>0</v>
      </c>
      <c r="T14" s="395"/>
    </row>
    <row r="15" spans="1:20" ht="39" customHeight="1">
      <c r="A15" s="343" t="str">
        <f>'EXCELENCIA ACADÉMICA'!B12</f>
        <v xml:space="preserve">Fortalecer los resultados de las pruebas Saber T y T y Saber PRO en los estudiantes de nivel tecnológico y profesional, habilitados para la presentación de la prueba. </v>
      </c>
      <c r="B15" s="37" t="str">
        <f>'EXCELENCIA ACADÉMICA'!D12</f>
        <v>ALTA
(100%)</v>
      </c>
      <c r="C15" s="141">
        <f>'EXCELENCIA ACADÉMICA'!AA12</f>
        <v>0</v>
      </c>
      <c r="D15" s="399"/>
      <c r="E15" s="408"/>
      <c r="F15" s="233"/>
      <c r="G15" s="288"/>
      <c r="H15" s="288"/>
      <c r="I15" s="288"/>
      <c r="J15" s="288"/>
      <c r="K15" s="288"/>
      <c r="L15" s="288"/>
      <c r="M15" s="288"/>
      <c r="N15" s="288"/>
      <c r="O15" s="227"/>
      <c r="P15" s="227"/>
      <c r="Q15" s="283">
        <f>C15</f>
        <v>0</v>
      </c>
      <c r="R15" s="227">
        <f>SUM(F15:Q15)</f>
        <v>0</v>
      </c>
      <c r="S15" s="393"/>
      <c r="T15" s="395"/>
    </row>
    <row r="16" spans="1:20">
      <c r="A16" s="441" t="s">
        <v>632</v>
      </c>
      <c r="B16" s="442"/>
      <c r="C16" s="442"/>
      <c r="D16" s="443"/>
      <c r="E16" s="408"/>
      <c r="F16" s="400"/>
      <c r="G16" s="401"/>
      <c r="H16" s="401"/>
      <c r="I16" s="401"/>
      <c r="J16" s="401"/>
      <c r="K16" s="401"/>
      <c r="L16" s="401"/>
      <c r="M16" s="401"/>
      <c r="N16" s="401"/>
      <c r="O16" s="402"/>
      <c r="P16" s="402"/>
      <c r="Q16" s="402"/>
      <c r="R16" s="402"/>
      <c r="S16" s="402"/>
      <c r="T16" s="395"/>
    </row>
    <row r="17" spans="1:20" ht="35.25" customHeight="1">
      <c r="A17" s="340" t="str">
        <f>'EXCELENCIA ACADÉMICA'!B14</f>
        <v>Fortalecer la oferta de programas académicos en modalidad presencial o virtual que contribuyan al desarrollo social y económico de las regiones.</v>
      </c>
      <c r="B17" s="68" t="str">
        <f>'EXCELENCIA ACADÉMICA'!D14</f>
        <v>ALTA
(80%)</v>
      </c>
      <c r="C17" s="141">
        <f>'EXCELENCIA ACADÉMICA'!AA14</f>
        <v>0</v>
      </c>
      <c r="D17" s="416">
        <f>SUM(C17:C18)</f>
        <v>0</v>
      </c>
      <c r="E17" s="408"/>
      <c r="F17" s="233"/>
      <c r="G17" s="288"/>
      <c r="H17" s="288"/>
      <c r="I17" s="288"/>
      <c r="J17" s="288"/>
      <c r="K17" s="288"/>
      <c r="L17" s="288"/>
      <c r="M17" s="288"/>
      <c r="N17" s="288"/>
      <c r="O17" s="227"/>
      <c r="P17" s="227"/>
      <c r="Q17" s="283">
        <f>C17</f>
        <v>0</v>
      </c>
      <c r="R17" s="227">
        <f>SUM(F17:Q17)</f>
        <v>0</v>
      </c>
      <c r="S17" s="393">
        <f>SUM(R17:R18)</f>
        <v>0</v>
      </c>
      <c r="T17" s="395"/>
    </row>
    <row r="18" spans="1:20" ht="35.25" customHeight="1">
      <c r="A18" s="340" t="str">
        <f>'EXCELENCIA ACADÉMICA'!B15</f>
        <v xml:space="preserve">Aumentar el número de estudiantes matriculados en los programas académicos de la institución. </v>
      </c>
      <c r="B18" s="68" t="str">
        <f>'EXCELENCIA ACADÉMICA'!D15</f>
        <v>ALTA
(80%)</v>
      </c>
      <c r="C18" s="141">
        <f>'EXCELENCIA ACADÉMICA'!AA15</f>
        <v>0</v>
      </c>
      <c r="D18" s="399"/>
      <c r="E18" s="408"/>
      <c r="F18" s="233"/>
      <c r="G18" s="288"/>
      <c r="H18" s="288"/>
      <c r="I18" s="288"/>
      <c r="J18" s="288"/>
      <c r="K18" s="288"/>
      <c r="L18" s="288"/>
      <c r="M18" s="288"/>
      <c r="N18" s="288"/>
      <c r="O18" s="227"/>
      <c r="P18" s="227"/>
      <c r="Q18" s="283">
        <f>C18</f>
        <v>0</v>
      </c>
      <c r="R18" s="227">
        <f>SUM(F18:Q18)</f>
        <v>0</v>
      </c>
      <c r="S18" s="393"/>
      <c r="T18" s="395"/>
    </row>
    <row r="19" spans="1:20">
      <c r="A19" s="441" t="s">
        <v>597</v>
      </c>
      <c r="B19" s="442"/>
      <c r="C19" s="442"/>
      <c r="D19" s="443"/>
      <c r="E19" s="408"/>
      <c r="F19" s="400"/>
      <c r="G19" s="401"/>
      <c r="H19" s="401"/>
      <c r="I19" s="401"/>
      <c r="J19" s="401"/>
      <c r="K19" s="401"/>
      <c r="L19" s="401"/>
      <c r="M19" s="401"/>
      <c r="N19" s="401"/>
      <c r="O19" s="402"/>
      <c r="P19" s="402"/>
      <c r="Q19" s="402"/>
      <c r="R19" s="402"/>
      <c r="S19" s="402"/>
      <c r="T19" s="395"/>
    </row>
    <row r="20" spans="1:20" ht="48.75" customHeight="1">
      <c r="A20" s="342" t="str">
        <f>'EXCELENCIA ACADÉMICA'!B16</f>
        <v>Fortalecer los procesos de selección, permanencia, promoción, evaluación y pronta graduación de estudiantes, (atendiendo la diversidad y multiculturalidad de la población, enfoque de género, personas en situación de discapacidad).</v>
      </c>
      <c r="B20" s="212" t="str">
        <f>'EXCELENCIA ACADÉMICA'!D16</f>
        <v>MEDIA
(60%)</v>
      </c>
      <c r="C20" s="141">
        <f>'EXCELENCIA ACADÉMICA'!AA16</f>
        <v>0</v>
      </c>
      <c r="D20" s="393">
        <f>SUM(C20:C21)</f>
        <v>0</v>
      </c>
      <c r="E20" s="408"/>
      <c r="F20" s="233"/>
      <c r="G20" s="288"/>
      <c r="H20" s="288"/>
      <c r="I20" s="288"/>
      <c r="J20" s="288"/>
      <c r="K20" s="288"/>
      <c r="L20" s="288"/>
      <c r="M20" s="288"/>
      <c r="N20" s="288"/>
      <c r="O20" s="227"/>
      <c r="P20" s="227"/>
      <c r="Q20" s="283">
        <f>C20</f>
        <v>0</v>
      </c>
      <c r="R20" s="227">
        <f>SUM(F20:Q20)</f>
        <v>0</v>
      </c>
      <c r="S20" s="393">
        <f>SUM(R20:R21)</f>
        <v>0</v>
      </c>
      <c r="T20" s="395"/>
    </row>
    <row r="21" spans="1:20" ht="33" customHeight="1">
      <c r="A21" s="342" t="str">
        <f>'EXCELENCIA ACADÉMICA'!B21</f>
        <v>Fortalecer mecanismos de seguimiento y acompañamiento a la gestión académica de estudiantes.</v>
      </c>
      <c r="B21" s="212" t="str">
        <f>'EXCELENCIA ACADÉMICA'!D21</f>
        <v>ALTA
(80%)</v>
      </c>
      <c r="C21" s="141">
        <f>'EXCELENCIA ACADÉMICA'!AA21</f>
        <v>0</v>
      </c>
      <c r="D21" s="393"/>
      <c r="E21" s="408"/>
      <c r="F21" s="233"/>
      <c r="G21" s="288"/>
      <c r="H21" s="288"/>
      <c r="I21" s="288"/>
      <c r="J21" s="288"/>
      <c r="K21" s="288"/>
      <c r="L21" s="288"/>
      <c r="M21" s="288"/>
      <c r="N21" s="288"/>
      <c r="O21" s="227"/>
      <c r="P21" s="227"/>
      <c r="Q21" s="283">
        <f>C21</f>
        <v>0</v>
      </c>
      <c r="R21" s="227">
        <f>SUM(F21:Q21)</f>
        <v>0</v>
      </c>
      <c r="S21" s="393"/>
      <c r="T21" s="395"/>
    </row>
    <row r="22" spans="1:20">
      <c r="A22" s="438" t="s">
        <v>683</v>
      </c>
      <c r="B22" s="439"/>
      <c r="C22" s="439"/>
      <c r="D22" s="440"/>
      <c r="E22" s="408"/>
      <c r="F22" s="400"/>
      <c r="G22" s="401"/>
      <c r="H22" s="401"/>
      <c r="I22" s="401"/>
      <c r="J22" s="401"/>
      <c r="K22" s="401"/>
      <c r="L22" s="401"/>
      <c r="M22" s="401"/>
      <c r="N22" s="401"/>
      <c r="O22" s="402"/>
      <c r="P22" s="402"/>
      <c r="Q22" s="402"/>
      <c r="R22" s="402"/>
      <c r="S22" s="402"/>
      <c r="T22" s="395"/>
    </row>
    <row r="23" spans="1:20" ht="36" customHeight="1">
      <c r="A23" s="342" t="str">
        <f>'EXCELENCIA ACADÉMICA'!B22</f>
        <v>Fortalecer el proceso de  selección docente UTS para mejorar el desarrollo académico y científico de la comunidad académica.</v>
      </c>
      <c r="B23" s="212" t="str">
        <f>'EXCELENCIA ACADÉMICA'!D22</f>
        <v>ALTA
(80%)</v>
      </c>
      <c r="C23" s="329">
        <f>'EXCELENCIA ACADÉMICA'!AA22</f>
        <v>3751720779.3101845</v>
      </c>
      <c r="D23" s="393">
        <f>SUM(C23:C24)</f>
        <v>3751720779.3101845</v>
      </c>
      <c r="E23" s="408"/>
      <c r="F23" s="233">
        <f>C23/2</f>
        <v>1875860389.6550922</v>
      </c>
      <c r="G23" s="288"/>
      <c r="H23" s="288"/>
      <c r="I23" s="288"/>
      <c r="J23" s="288"/>
      <c r="K23" s="288"/>
      <c r="L23" s="288"/>
      <c r="M23" s="288">
        <f>C23/2</f>
        <v>1875860389.6550922</v>
      </c>
      <c r="N23" s="288"/>
      <c r="O23" s="227"/>
      <c r="P23" s="227"/>
      <c r="Q23" s="283"/>
      <c r="R23" s="227">
        <f>SUM(F23:Q23)</f>
        <v>3751720779.3101845</v>
      </c>
      <c r="S23" s="393">
        <f>SUM(R23:R24)</f>
        <v>3751720779.3101845</v>
      </c>
      <c r="T23" s="395"/>
    </row>
    <row r="24" spans="1:20" ht="61.5" customHeight="1">
      <c r="A24" s="342" t="str">
        <f>'EXCELENCIA ACADÉMICA'!B27</f>
        <v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v>
      </c>
      <c r="B24" s="212" t="str">
        <f>'EXCELENCIA ACADÉMICA'!D27</f>
        <v>ALTA
(80%)</v>
      </c>
      <c r="C24" s="141">
        <f>'EXCELENCIA ACADÉMICA'!AA27</f>
        <v>0</v>
      </c>
      <c r="D24" s="393"/>
      <c r="E24" s="408"/>
      <c r="F24" s="233"/>
      <c r="G24" s="288"/>
      <c r="H24" s="288"/>
      <c r="I24" s="288"/>
      <c r="J24" s="288"/>
      <c r="K24" s="288"/>
      <c r="L24" s="288"/>
      <c r="M24" s="288"/>
      <c r="N24" s="288"/>
      <c r="O24" s="227"/>
      <c r="P24" s="227"/>
      <c r="Q24" s="283">
        <f>C24</f>
        <v>0</v>
      </c>
      <c r="R24" s="227">
        <f>SUM(F24:Q24)</f>
        <v>0</v>
      </c>
      <c r="S24" s="393"/>
      <c r="T24" s="395"/>
    </row>
    <row r="25" spans="1:20">
      <c r="A25" s="438" t="s">
        <v>598</v>
      </c>
      <c r="B25" s="439"/>
      <c r="C25" s="439"/>
      <c r="D25" s="440"/>
      <c r="E25" s="408"/>
      <c r="F25" s="400"/>
      <c r="G25" s="401"/>
      <c r="H25" s="401"/>
      <c r="I25" s="401"/>
      <c r="J25" s="401"/>
      <c r="K25" s="401"/>
      <c r="L25" s="401"/>
      <c r="M25" s="401"/>
      <c r="N25" s="401"/>
      <c r="O25" s="402"/>
      <c r="P25" s="402"/>
      <c r="Q25" s="402"/>
      <c r="R25" s="402"/>
      <c r="S25" s="402"/>
      <c r="T25" s="395"/>
    </row>
    <row r="26" spans="1:20" ht="36.75" customHeight="1">
      <c r="A26" s="342" t="str">
        <f>'EXCELENCIA ACADÉMICA'!B28</f>
        <v xml:space="preserve">Fomentar el uso de diversos ambientes de aprendizaje, para soportar los procesos formativos. </v>
      </c>
      <c r="B26" s="212" t="str">
        <f>'EXCELENCIA ACADÉMICA'!D28</f>
        <v>ALTA
(87%)</v>
      </c>
      <c r="C26" s="141">
        <f>'EXCELENCIA ACADÉMICA'!AA28</f>
        <v>0</v>
      </c>
      <c r="D26" s="141">
        <f>C26</f>
        <v>0</v>
      </c>
      <c r="E26" s="408"/>
      <c r="F26" s="233"/>
      <c r="G26" s="288"/>
      <c r="H26" s="288"/>
      <c r="I26" s="288"/>
      <c r="J26" s="288"/>
      <c r="K26" s="288"/>
      <c r="L26" s="288"/>
      <c r="M26" s="288"/>
      <c r="N26" s="288"/>
      <c r="O26" s="227"/>
      <c r="P26" s="227"/>
      <c r="Q26" s="283">
        <f>C26</f>
        <v>0</v>
      </c>
      <c r="R26" s="227">
        <f>SUM(F26:Q26)</f>
        <v>0</v>
      </c>
      <c r="S26" s="227">
        <f>R26</f>
        <v>0</v>
      </c>
      <c r="T26" s="395"/>
    </row>
    <row r="27" spans="1:20" ht="21" customHeight="1">
      <c r="A27" s="403" t="s">
        <v>580</v>
      </c>
      <c r="B27" s="403"/>
      <c r="C27" s="403"/>
      <c r="D27" s="403"/>
      <c r="E27" s="404"/>
      <c r="F27" s="291">
        <f>F29+F30+F31+F32+F34+F35+F36+F37+F38+F40+F41</f>
        <v>0</v>
      </c>
      <c r="G27" s="292">
        <f t="shared" ref="G27:Q27" si="1">G29+G30+G31+G32+G34+G35+G36+G37+G38+G40+G41</f>
        <v>0</v>
      </c>
      <c r="H27" s="292">
        <f t="shared" si="1"/>
        <v>1816607730.6060801</v>
      </c>
      <c r="I27" s="292">
        <f t="shared" si="1"/>
        <v>0</v>
      </c>
      <c r="J27" s="292">
        <f t="shared" si="1"/>
        <v>0</v>
      </c>
      <c r="K27" s="292">
        <f t="shared" si="1"/>
        <v>0</v>
      </c>
      <c r="L27" s="292">
        <f t="shared" si="1"/>
        <v>0</v>
      </c>
      <c r="M27" s="292">
        <f t="shared" si="1"/>
        <v>0</v>
      </c>
      <c r="N27" s="292">
        <f t="shared" si="1"/>
        <v>0</v>
      </c>
      <c r="O27" s="292">
        <f t="shared" si="1"/>
        <v>0</v>
      </c>
      <c r="P27" s="292">
        <f t="shared" si="1"/>
        <v>0</v>
      </c>
      <c r="Q27" s="292">
        <f t="shared" si="1"/>
        <v>0</v>
      </c>
      <c r="R27" s="245"/>
      <c r="S27" s="245"/>
      <c r="T27" s="247"/>
    </row>
    <row r="28" spans="1:20">
      <c r="A28" s="421" t="s">
        <v>600</v>
      </c>
      <c r="B28" s="422"/>
      <c r="C28" s="422"/>
      <c r="D28" s="423"/>
      <c r="E28" s="413">
        <f>D29+D34+D40</f>
        <v>1816607730.6060801</v>
      </c>
      <c r="F28" s="390"/>
      <c r="G28" s="391"/>
      <c r="H28" s="391"/>
      <c r="I28" s="391"/>
      <c r="J28" s="391"/>
      <c r="K28" s="391"/>
      <c r="L28" s="391"/>
      <c r="M28" s="391"/>
      <c r="N28" s="391"/>
      <c r="O28" s="392"/>
      <c r="P28" s="392"/>
      <c r="Q28" s="392"/>
      <c r="R28" s="392"/>
      <c r="S28" s="392"/>
      <c r="T28" s="429">
        <f>S29+S34+S40</f>
        <v>1816607730.6060801</v>
      </c>
    </row>
    <row r="29" spans="1:20" ht="36" customHeight="1">
      <c r="A29" s="344" t="str">
        <f>'CIENCIA E INVESTIGACIÓN'!B5</f>
        <v>Ambiente y cultura institucional en ciencia, tecnología e innovación.</v>
      </c>
      <c r="B29" s="213" t="str">
        <f>'CIENCIA E INVESTIGACIÓN'!D5</f>
        <v>ALTA
(95%</v>
      </c>
      <c r="C29" s="141">
        <f>'CIENCIA E INVESTIGACIÓN'!AA5</f>
        <v>315931779.23583996</v>
      </c>
      <c r="D29" s="416">
        <f>SUM(C29:C32)</f>
        <v>1579658896.1791999</v>
      </c>
      <c r="E29" s="414"/>
      <c r="F29" s="233"/>
      <c r="G29" s="288"/>
      <c r="H29" s="288">
        <f>C29</f>
        <v>315931779.23583996</v>
      </c>
      <c r="I29" s="288"/>
      <c r="J29" s="288"/>
      <c r="K29" s="288"/>
      <c r="L29" s="288"/>
      <c r="M29" s="288"/>
      <c r="N29" s="288"/>
      <c r="O29" s="227"/>
      <c r="P29" s="227"/>
      <c r="Q29" s="227"/>
      <c r="R29" s="227">
        <f>SUM(F29:Q29)</f>
        <v>315931779.23583996</v>
      </c>
      <c r="S29" s="393">
        <f>SUM(R29:R32)</f>
        <v>1579658896.1791999</v>
      </c>
      <c r="T29" s="430"/>
    </row>
    <row r="30" spans="1:20" ht="36" customHeight="1">
      <c r="A30" s="344" t="str">
        <f>'CIENCIA E INVESTIGACIÓN'!B7</f>
        <v>Investigación aplicada al servicio del sector externo.</v>
      </c>
      <c r="B30" s="213" t="str">
        <f>'CIENCIA E INVESTIGACIÓN'!D7</f>
        <v>ALTA
(95%</v>
      </c>
      <c r="C30" s="141">
        <f>'CIENCIA E INVESTIGACIÓN'!AA7</f>
        <v>394914724.04480004</v>
      </c>
      <c r="D30" s="417"/>
      <c r="E30" s="414"/>
      <c r="F30" s="233"/>
      <c r="G30" s="288"/>
      <c r="H30" s="288">
        <f>C30</f>
        <v>394914724.04480004</v>
      </c>
      <c r="I30" s="288"/>
      <c r="J30" s="288"/>
      <c r="K30" s="288"/>
      <c r="L30" s="288"/>
      <c r="M30" s="288"/>
      <c r="N30" s="288"/>
      <c r="O30" s="227"/>
      <c r="P30" s="227"/>
      <c r="Q30" s="227"/>
      <c r="R30" s="227">
        <f>SUM(F30:Q30)</f>
        <v>394914724.04480004</v>
      </c>
      <c r="S30" s="393"/>
      <c r="T30" s="430"/>
    </row>
    <row r="31" spans="1:20" ht="36" customHeight="1">
      <c r="A31" s="344" t="str">
        <f>'CIENCIA E INVESTIGACIÓN'!B9</f>
        <v xml:space="preserve">Tecnología, conocimiento y sociedad.      </v>
      </c>
      <c r="B31" s="213" t="str">
        <f>'CIENCIA E INVESTIGACIÓN'!D9</f>
        <v>ALTA
(95%</v>
      </c>
      <c r="C31" s="141">
        <f>'CIENCIA E INVESTIGACIÓN'!AA9</f>
        <v>473897668.85376</v>
      </c>
      <c r="D31" s="417"/>
      <c r="E31" s="414"/>
      <c r="F31" s="233"/>
      <c r="G31" s="288"/>
      <c r="H31" s="288">
        <f>C31</f>
        <v>473897668.85376</v>
      </c>
      <c r="I31" s="288"/>
      <c r="J31" s="288"/>
      <c r="K31" s="288"/>
      <c r="L31" s="288"/>
      <c r="M31" s="288"/>
      <c r="N31" s="288"/>
      <c r="O31" s="227"/>
      <c r="P31" s="227"/>
      <c r="Q31" s="227"/>
      <c r="R31" s="227">
        <f>SUM(F31:Q31)</f>
        <v>473897668.85376</v>
      </c>
      <c r="S31" s="393"/>
      <c r="T31" s="430"/>
    </row>
    <row r="32" spans="1:20" ht="36" customHeight="1">
      <c r="A32" s="344" t="str">
        <f>'CIENCIA E INVESTIGACIÓN'!B13</f>
        <v xml:space="preserve">Cooperación nacional e internacional. </v>
      </c>
      <c r="B32" s="213" t="str">
        <f>'CIENCIA E INVESTIGACIÓN'!D13</f>
        <v>ALTA
(95%</v>
      </c>
      <c r="C32" s="141">
        <f>'CIENCIA E INVESTIGACIÓN'!AA13</f>
        <v>394914724.04479998</v>
      </c>
      <c r="D32" s="399"/>
      <c r="E32" s="414"/>
      <c r="F32" s="233"/>
      <c r="G32" s="288"/>
      <c r="H32" s="288">
        <f>C32</f>
        <v>394914724.04479998</v>
      </c>
      <c r="I32" s="288"/>
      <c r="J32" s="288"/>
      <c r="K32" s="288"/>
      <c r="L32" s="288"/>
      <c r="M32" s="288"/>
      <c r="N32" s="288"/>
      <c r="O32" s="227"/>
      <c r="P32" s="227"/>
      <c r="Q32" s="227"/>
      <c r="R32" s="227">
        <f>SUM(F32:Q32)</f>
        <v>394914724.04479998</v>
      </c>
      <c r="S32" s="393"/>
      <c r="T32" s="430"/>
    </row>
    <row r="33" spans="1:20">
      <c r="A33" s="438" t="s">
        <v>601</v>
      </c>
      <c r="B33" s="439"/>
      <c r="C33" s="439"/>
      <c r="D33" s="440"/>
      <c r="E33" s="414"/>
      <c r="F33" s="390"/>
      <c r="G33" s="391"/>
      <c r="H33" s="391"/>
      <c r="I33" s="391"/>
      <c r="J33" s="391"/>
      <c r="K33" s="391"/>
      <c r="L33" s="391"/>
      <c r="M33" s="391"/>
      <c r="N33" s="391"/>
      <c r="O33" s="392"/>
      <c r="P33" s="392"/>
      <c r="Q33" s="392"/>
      <c r="R33" s="392"/>
      <c r="S33" s="392"/>
      <c r="T33" s="430"/>
    </row>
    <row r="34" spans="1:20" ht="33.75" customHeight="1">
      <c r="A34" s="344" t="str">
        <f>'CIENCIA E INVESTIGACIÓN'!B15</f>
        <v>Investigación, educación y comunidad.</v>
      </c>
      <c r="B34" s="213" t="str">
        <f>'CIENCIA E INVESTIGACIÓN'!D15</f>
        <v>ALTA
(100%)</v>
      </c>
      <c r="C34" s="141">
        <f>'CIENCIA E INVESTIGACIÓN'!AA15</f>
        <v>0</v>
      </c>
      <c r="D34" s="416">
        <f>SUM(C34:C38)</f>
        <v>0</v>
      </c>
      <c r="E34" s="414"/>
      <c r="F34" s="233"/>
      <c r="G34" s="288"/>
      <c r="H34" s="288"/>
      <c r="I34" s="288"/>
      <c r="J34" s="288"/>
      <c r="K34" s="288"/>
      <c r="L34" s="288"/>
      <c r="M34" s="288"/>
      <c r="N34" s="288"/>
      <c r="O34" s="227"/>
      <c r="P34" s="227"/>
      <c r="Q34" s="227">
        <f>C34</f>
        <v>0</v>
      </c>
      <c r="R34" s="227">
        <f>SUM(F34:Q34)</f>
        <v>0</v>
      </c>
      <c r="S34" s="393">
        <f>SUM(R34:R38)</f>
        <v>0</v>
      </c>
      <c r="T34" s="430"/>
    </row>
    <row r="35" spans="1:20" ht="33.75" customHeight="1">
      <c r="A35" s="344" t="str">
        <f>'CIENCIA E INVESTIGACIÓN'!B17</f>
        <v xml:space="preserve">La investigación y los focos estratégicos del contexto global. </v>
      </c>
      <c r="B35" s="213" t="str">
        <f>'CIENCIA E INVESTIGACIÓN'!D17</f>
        <v>ALTA
(100%)</v>
      </c>
      <c r="C35" s="141">
        <f>'CIENCIA E INVESTIGACIÓN'!AA17</f>
        <v>0</v>
      </c>
      <c r="D35" s="417"/>
      <c r="E35" s="414"/>
      <c r="F35" s="233"/>
      <c r="G35" s="288"/>
      <c r="H35" s="288"/>
      <c r="I35" s="288"/>
      <c r="J35" s="288"/>
      <c r="K35" s="288"/>
      <c r="L35" s="288"/>
      <c r="M35" s="288"/>
      <c r="N35" s="288"/>
      <c r="O35" s="227"/>
      <c r="P35" s="227"/>
      <c r="Q35" s="283">
        <f>C35</f>
        <v>0</v>
      </c>
      <c r="R35" s="227">
        <f>SUM(F35:Q35)</f>
        <v>0</v>
      </c>
      <c r="S35" s="393"/>
      <c r="T35" s="430"/>
    </row>
    <row r="36" spans="1:20" ht="33.75" customHeight="1">
      <c r="A36" s="344" t="str">
        <f>'CIENCIA E INVESTIGACIÓN'!B20</f>
        <v>Investigación formativa.</v>
      </c>
      <c r="B36" s="213" t="str">
        <f>'CIENCIA E INVESTIGACIÓN'!D20</f>
        <v>ALTA
(100%)</v>
      </c>
      <c r="C36" s="141">
        <f>'CIENCIA E INVESTIGACIÓN'!AA20</f>
        <v>0</v>
      </c>
      <c r="D36" s="417"/>
      <c r="E36" s="414"/>
      <c r="F36" s="233"/>
      <c r="G36" s="288"/>
      <c r="H36" s="288"/>
      <c r="I36" s="288"/>
      <c r="J36" s="288"/>
      <c r="K36" s="288"/>
      <c r="L36" s="288"/>
      <c r="M36" s="288"/>
      <c r="N36" s="288"/>
      <c r="O36" s="227"/>
      <c r="P36" s="227"/>
      <c r="Q36" s="283">
        <f>C36</f>
        <v>0</v>
      </c>
      <c r="R36" s="227">
        <f>SUM(F36:Q36)</f>
        <v>0</v>
      </c>
      <c r="S36" s="393"/>
      <c r="T36" s="430"/>
    </row>
    <row r="37" spans="1:20" ht="33.75" customHeight="1">
      <c r="A37" s="344" t="str">
        <f>'CIENCIA E INVESTIGACIÓN'!B22</f>
        <v>Formación para la investigación</v>
      </c>
      <c r="B37" s="213" t="str">
        <f>'CIENCIA E INVESTIGACIÓN'!D22</f>
        <v>ALTA
(100%)</v>
      </c>
      <c r="C37" s="141">
        <f>'CIENCIA E INVESTIGACIÓN'!AA22</f>
        <v>0</v>
      </c>
      <c r="D37" s="417"/>
      <c r="E37" s="414"/>
      <c r="F37" s="233"/>
      <c r="G37" s="288"/>
      <c r="H37" s="288"/>
      <c r="I37" s="288"/>
      <c r="J37" s="288"/>
      <c r="K37" s="288"/>
      <c r="L37" s="288"/>
      <c r="M37" s="288"/>
      <c r="N37" s="288"/>
      <c r="O37" s="227"/>
      <c r="P37" s="227"/>
      <c r="Q37" s="283">
        <f>C37</f>
        <v>0</v>
      </c>
      <c r="R37" s="227">
        <f>SUM(F37:Q37)</f>
        <v>0</v>
      </c>
      <c r="S37" s="393"/>
      <c r="T37" s="430"/>
    </row>
    <row r="38" spans="1:20" ht="33.75" customHeight="1">
      <c r="A38" s="344" t="str">
        <f>'CIENCIA E INVESTIGACIÓN'!B24</f>
        <v>Investigación científica.</v>
      </c>
      <c r="B38" s="213" t="str">
        <f>'CIENCIA E INVESTIGACIÓN'!D24</f>
        <v>ALTA
(100%)</v>
      </c>
      <c r="C38" s="141">
        <f>'CIENCIA E INVESTIGACIÓN'!AA24</f>
        <v>0</v>
      </c>
      <c r="D38" s="399"/>
      <c r="E38" s="414"/>
      <c r="F38" s="233"/>
      <c r="G38" s="288"/>
      <c r="H38" s="288"/>
      <c r="I38" s="288"/>
      <c r="J38" s="288"/>
      <c r="K38" s="288"/>
      <c r="L38" s="288"/>
      <c r="M38" s="288"/>
      <c r="N38" s="288"/>
      <c r="O38" s="227"/>
      <c r="P38" s="227"/>
      <c r="Q38" s="283">
        <f>C38</f>
        <v>0</v>
      </c>
      <c r="R38" s="227">
        <f>SUM(F38:Q38)</f>
        <v>0</v>
      </c>
      <c r="S38" s="393"/>
      <c r="T38" s="430"/>
    </row>
    <row r="39" spans="1:20">
      <c r="A39" s="438" t="s">
        <v>602</v>
      </c>
      <c r="B39" s="439"/>
      <c r="C39" s="439"/>
      <c r="D39" s="440"/>
      <c r="E39" s="414"/>
      <c r="F39" s="390"/>
      <c r="G39" s="391"/>
      <c r="H39" s="391"/>
      <c r="I39" s="391"/>
      <c r="J39" s="391"/>
      <c r="K39" s="391"/>
      <c r="L39" s="391"/>
      <c r="M39" s="391"/>
      <c r="N39" s="391"/>
      <c r="O39" s="392"/>
      <c r="P39" s="392"/>
      <c r="Q39" s="392"/>
      <c r="R39" s="392"/>
      <c r="S39" s="392"/>
      <c r="T39" s="430"/>
    </row>
    <row r="40" spans="1:20" ht="38.25" customHeight="1">
      <c r="A40" s="344" t="str">
        <f>'CIENCIA E INVESTIGACIÓN'!B27</f>
        <v>Cultura ciudadana y formación integral.</v>
      </c>
      <c r="B40" s="213" t="str">
        <f>'CIENCIA E INVESTIGACIÓN'!D27</f>
        <v>ALTA
(80%)</v>
      </c>
      <c r="C40" s="224">
        <f>'CIENCIA E INVESTIGACIÓN'!AA27</f>
        <v>0</v>
      </c>
      <c r="D40" s="416">
        <f>SUM(C40:C41)</f>
        <v>236948834.42688</v>
      </c>
      <c r="E40" s="414"/>
      <c r="F40" s="233"/>
      <c r="G40" s="288"/>
      <c r="H40" s="288"/>
      <c r="I40" s="288"/>
      <c r="J40" s="288"/>
      <c r="K40" s="288"/>
      <c r="L40" s="288"/>
      <c r="M40" s="288"/>
      <c r="N40" s="288"/>
      <c r="O40" s="227"/>
      <c r="P40" s="227"/>
      <c r="Q40" s="283">
        <f>C40</f>
        <v>0</v>
      </c>
      <c r="R40" s="227">
        <f>SUM(F40:Q40)</f>
        <v>0</v>
      </c>
      <c r="S40" s="393">
        <f>SUM(R40:R41)</f>
        <v>236948834.42688</v>
      </c>
      <c r="T40" s="430"/>
    </row>
    <row r="41" spans="1:20" ht="38.25" customHeight="1">
      <c r="A41" s="344" t="str">
        <f>'CIENCIA E INVESTIGACIÓN'!B28</f>
        <v>Cultura y territorios inteligentes.</v>
      </c>
      <c r="B41" s="213" t="str">
        <f>'CIENCIA E INVESTIGACIÓN'!D28</f>
        <v>ALTA
(80%)</v>
      </c>
      <c r="C41" s="224">
        <f>'CIENCIA E INVESTIGACIÓN'!AA28</f>
        <v>236948834.42688</v>
      </c>
      <c r="D41" s="399"/>
      <c r="E41" s="415"/>
      <c r="F41" s="233"/>
      <c r="G41" s="288"/>
      <c r="H41" s="288">
        <f>C41</f>
        <v>236948834.42688</v>
      </c>
      <c r="I41" s="288"/>
      <c r="J41" s="288"/>
      <c r="K41" s="288"/>
      <c r="L41" s="288"/>
      <c r="M41" s="288"/>
      <c r="N41" s="288"/>
      <c r="O41" s="227"/>
      <c r="P41" s="227"/>
      <c r="Q41" s="227"/>
      <c r="R41" s="227">
        <f>SUM(F41:Q41)</f>
        <v>236948834.42688</v>
      </c>
      <c r="S41" s="393"/>
      <c r="T41" s="431"/>
    </row>
    <row r="42" spans="1:20" ht="21" customHeight="1">
      <c r="A42" s="403" t="s">
        <v>581</v>
      </c>
      <c r="B42" s="403"/>
      <c r="C42" s="403"/>
      <c r="D42" s="403"/>
      <c r="E42" s="404"/>
      <c r="F42" s="291">
        <f>F44+F45+F47+F48+F50+F51+F53+F54+F56+F57+F58+F59+F60+F62+F64+F65</f>
        <v>0</v>
      </c>
      <c r="G42" s="292">
        <f t="shared" ref="G42:Q42" si="2">G44+G45+G47+G48+G50+G51+G53+G54+G56+G57+G58+G59+G60+G62+G64+G65</f>
        <v>0</v>
      </c>
      <c r="H42" s="292">
        <f t="shared" si="2"/>
        <v>626863558.47167993</v>
      </c>
      <c r="I42" s="292">
        <f t="shared" si="2"/>
        <v>0</v>
      </c>
      <c r="J42" s="292">
        <f t="shared" si="2"/>
        <v>0</v>
      </c>
      <c r="K42" s="292">
        <f t="shared" si="2"/>
        <v>132432092.049408</v>
      </c>
      <c r="L42" s="292">
        <f t="shared" si="2"/>
        <v>0</v>
      </c>
      <c r="M42" s="292">
        <f t="shared" si="2"/>
        <v>0</v>
      </c>
      <c r="N42" s="292">
        <f t="shared" si="2"/>
        <v>0</v>
      </c>
      <c r="O42" s="292">
        <f t="shared" si="2"/>
        <v>0</v>
      </c>
      <c r="P42" s="292">
        <f t="shared" si="2"/>
        <v>0</v>
      </c>
      <c r="Q42" s="292">
        <f t="shared" si="2"/>
        <v>0</v>
      </c>
      <c r="R42" s="245"/>
      <c r="S42" s="245"/>
      <c r="T42" s="247"/>
    </row>
    <row r="43" spans="1:20">
      <c r="A43" s="421" t="s">
        <v>603</v>
      </c>
      <c r="B43" s="422"/>
      <c r="C43" s="422"/>
      <c r="D43" s="423"/>
      <c r="E43" s="413">
        <f>D44+D47+D50+D53+D56+D62+D64</f>
        <v>759295650.52108788</v>
      </c>
      <c r="F43" s="390"/>
      <c r="G43" s="391"/>
      <c r="H43" s="391"/>
      <c r="I43" s="391"/>
      <c r="J43" s="391"/>
      <c r="K43" s="391"/>
      <c r="L43" s="391"/>
      <c r="M43" s="391"/>
      <c r="N43" s="391"/>
      <c r="O43" s="392"/>
      <c r="P43" s="392"/>
      <c r="Q43" s="392"/>
      <c r="R43" s="392"/>
      <c r="S43" s="392"/>
      <c r="T43" s="429">
        <f>S44+S47+S50+S53+S56+S62+S64</f>
        <v>759295650.52108788</v>
      </c>
    </row>
    <row r="44" spans="1:20" ht="35.25" customHeight="1">
      <c r="A44" s="344" t="str">
        <f>'EXTENSIÓN Y GESTIÓN SOCIAL'!B5</f>
        <v>Realizar alianzas con instituciones educativas y organizaciones nacionales e internacionales que permitan el acceso a plataformas tecnológicas para diversificar la oferta y generar valor agregado.</v>
      </c>
      <c r="B44" s="213" t="str">
        <f>'EXTENSIÓN Y GESTIÓN SOCIAL'!D5</f>
        <v>ALTA
(89%)</v>
      </c>
      <c r="C44" s="224">
        <f>'EXTENSIÓN Y GESTIÓN SOCIAL'!AA5</f>
        <v>0</v>
      </c>
      <c r="D44" s="416">
        <f>SUM(C44:C45)</f>
        <v>0</v>
      </c>
      <c r="E44" s="414"/>
      <c r="F44" s="233"/>
      <c r="G44" s="288"/>
      <c r="H44" s="288"/>
      <c r="I44" s="288"/>
      <c r="J44" s="288"/>
      <c r="K44" s="288"/>
      <c r="L44" s="288"/>
      <c r="M44" s="288"/>
      <c r="N44" s="288"/>
      <c r="O44" s="227"/>
      <c r="P44" s="227"/>
      <c r="Q44" s="227">
        <f>C44</f>
        <v>0</v>
      </c>
      <c r="R44" s="227">
        <f>SUM(F44:Q44)</f>
        <v>0</v>
      </c>
      <c r="S44" s="393">
        <f>SUM(R44:R45)</f>
        <v>0</v>
      </c>
      <c r="T44" s="430"/>
    </row>
    <row r="45" spans="1:20" ht="35.25" customHeight="1">
      <c r="A45" s="344" t="str">
        <f>'EXTENSIÓN Y GESTIÓN SOCIAL'!B6</f>
        <v>Establecer alianzas con entidades públicas y privadas que contribuyan a la construcción de proyectos de investigación, desarrollo e innovación en conjunto con la comunidad académica.</v>
      </c>
      <c r="B45" s="213" t="str">
        <f>'EXTENSIÓN Y GESTIÓN SOCIAL'!D6</f>
        <v>MEDIA
(73%)</v>
      </c>
      <c r="C45" s="224">
        <f>'EXTENSIÓN Y GESTIÓN SOCIAL'!AA6</f>
        <v>0</v>
      </c>
      <c r="D45" s="399"/>
      <c r="E45" s="414"/>
      <c r="F45" s="233"/>
      <c r="G45" s="288"/>
      <c r="H45" s="288"/>
      <c r="I45" s="288"/>
      <c r="J45" s="288"/>
      <c r="K45" s="288"/>
      <c r="L45" s="288"/>
      <c r="M45" s="288"/>
      <c r="N45" s="288"/>
      <c r="O45" s="227"/>
      <c r="P45" s="227"/>
      <c r="Q45" s="283">
        <f>C45</f>
        <v>0</v>
      </c>
      <c r="R45" s="227">
        <f>SUM(F45:Q45)</f>
        <v>0</v>
      </c>
      <c r="S45" s="393"/>
      <c r="T45" s="430"/>
    </row>
    <row r="46" spans="1:20">
      <c r="A46" s="421" t="s">
        <v>604</v>
      </c>
      <c r="B46" s="422"/>
      <c r="C46" s="422"/>
      <c r="D46" s="423"/>
      <c r="E46" s="414"/>
      <c r="F46" s="390"/>
      <c r="G46" s="391"/>
      <c r="H46" s="391"/>
      <c r="I46" s="391"/>
      <c r="J46" s="391"/>
      <c r="K46" s="391"/>
      <c r="L46" s="391"/>
      <c r="M46" s="391"/>
      <c r="N46" s="391"/>
      <c r="O46" s="392"/>
      <c r="P46" s="392"/>
      <c r="Q46" s="392"/>
      <c r="R46" s="392"/>
      <c r="S46" s="392"/>
      <c r="T46" s="430"/>
    </row>
    <row r="47" spans="1:20" ht="39" customHeight="1">
      <c r="A47" s="344" t="str">
        <f>'EXTENSIÓN Y GESTIÓN SOCIAL'!B7</f>
        <v>Crear un observatorio de proyección social que realice seguimiento al entorno laboral, gubernamental y empresarial permitiendo a la institución conocer las necesidades de la región y del país.</v>
      </c>
      <c r="B47" s="213" t="str">
        <f>'EXTENSIÓN Y GESTIÓN SOCIAL'!D7</f>
        <v>MEDIA
(64%)</v>
      </c>
      <c r="C47" s="141">
        <f>'EXTENSIÓN Y GESTIÓN SOCIAL'!AA7</f>
        <v>0</v>
      </c>
      <c r="D47" s="416">
        <f>SUM(C47:C48)</f>
        <v>0</v>
      </c>
      <c r="E47" s="414"/>
      <c r="F47" s="233"/>
      <c r="G47" s="288"/>
      <c r="H47" s="288"/>
      <c r="I47" s="288"/>
      <c r="J47" s="288"/>
      <c r="K47" s="288"/>
      <c r="L47" s="288"/>
      <c r="M47" s="288"/>
      <c r="N47" s="288"/>
      <c r="O47" s="227"/>
      <c r="P47" s="227"/>
      <c r="Q47" s="283">
        <f>C47</f>
        <v>0</v>
      </c>
      <c r="R47" s="227">
        <f>SUM(F47:Q47)</f>
        <v>0</v>
      </c>
      <c r="S47" s="393">
        <f>SUM(R47:R48)</f>
        <v>0</v>
      </c>
      <c r="T47" s="430"/>
    </row>
    <row r="48" spans="1:20" ht="39" customHeight="1">
      <c r="A48" s="344" t="str">
        <f>'EXTENSIÓN Y GESTIÓN SOCIAL'!B10</f>
        <v>Formular proyectos de inversión que apunten a las metas de los planes de desarrollo local, regional y nacional y se articulen con la planeación estratégica de la institución.</v>
      </c>
      <c r="B48" s="213" t="str">
        <f>'EXTENSIÓN Y GESTIÓN SOCIAL'!D10</f>
        <v>MEDIA
(79%)</v>
      </c>
      <c r="C48" s="224">
        <f>'EXTENSIÓN Y GESTIÓN SOCIAL'!AA10</f>
        <v>0</v>
      </c>
      <c r="D48" s="399"/>
      <c r="E48" s="414"/>
      <c r="F48" s="233"/>
      <c r="G48" s="288"/>
      <c r="H48" s="288"/>
      <c r="I48" s="288"/>
      <c r="J48" s="288"/>
      <c r="K48" s="288"/>
      <c r="L48" s="288"/>
      <c r="M48" s="288"/>
      <c r="N48" s="288"/>
      <c r="O48" s="227"/>
      <c r="P48" s="227"/>
      <c r="Q48" s="283">
        <f>C48</f>
        <v>0</v>
      </c>
      <c r="R48" s="227">
        <f>SUM(F48:Q48)</f>
        <v>0</v>
      </c>
      <c r="S48" s="393"/>
      <c r="T48" s="430"/>
    </row>
    <row r="49" spans="1:20">
      <c r="A49" s="421" t="s">
        <v>605</v>
      </c>
      <c r="B49" s="422"/>
      <c r="C49" s="422"/>
      <c r="D49" s="423"/>
      <c r="E49" s="414"/>
      <c r="F49" s="390"/>
      <c r="G49" s="391"/>
      <c r="H49" s="391"/>
      <c r="I49" s="391"/>
      <c r="J49" s="391"/>
      <c r="K49" s="391"/>
      <c r="L49" s="391"/>
      <c r="M49" s="391"/>
      <c r="N49" s="391"/>
      <c r="O49" s="392"/>
      <c r="P49" s="392"/>
      <c r="Q49" s="392"/>
      <c r="R49" s="392"/>
      <c r="S49" s="392"/>
      <c r="T49" s="430"/>
    </row>
    <row r="50" spans="1:20" ht="35.25" customHeight="1">
      <c r="A50" s="344" t="str">
        <f>'EXTENSIÓN Y GESTIÓN SOCIAL'!B12</f>
        <v>Desarrollar estudios para conocer el impacto de la institución en la sociedad con sus contribuciones científicas, tecnológicas, de innovación y de creación.</v>
      </c>
      <c r="B50" s="213" t="str">
        <f>'EXTENSIÓN Y GESTIÓN SOCIAL'!D12</f>
        <v>ALTA
(90%)</v>
      </c>
      <c r="C50" s="224">
        <f>'EXTENSIÓN Y GESTIÓN SOCIAL'!AA12</f>
        <v>0</v>
      </c>
      <c r="D50" s="416">
        <f>SUM(C50:C51)</f>
        <v>34491472.404479995</v>
      </c>
      <c r="E50" s="414"/>
      <c r="F50" s="233"/>
      <c r="G50" s="288"/>
      <c r="H50" s="288"/>
      <c r="I50" s="288"/>
      <c r="J50" s="288"/>
      <c r="K50" s="288"/>
      <c r="L50" s="288"/>
      <c r="M50" s="288"/>
      <c r="N50" s="288"/>
      <c r="O50" s="227"/>
      <c r="P50" s="227"/>
      <c r="Q50" s="283">
        <f>C50</f>
        <v>0</v>
      </c>
      <c r="R50" s="227">
        <f>SUM(F50:Q50)</f>
        <v>0</v>
      </c>
      <c r="S50" s="393">
        <f>SUM(R50:R51)</f>
        <v>34491472.404479995</v>
      </c>
      <c r="T50" s="430"/>
    </row>
    <row r="51" spans="1:20" ht="35.25" customHeight="1">
      <c r="A51" s="344" t="str">
        <f>'EXTENSIÓN Y GESTIÓN SOCIAL'!B13</f>
        <v>Diseñar e implementar un programa que permita demostrar el compromiso de la institución con el entorno por medio de sus labores formativas, académicas, docentes, científicas, culturales y de extensión.</v>
      </c>
      <c r="B51" s="213" t="str">
        <f>'EXTENSIÓN Y GESTIÓN SOCIAL'!D13</f>
        <v>ALTA
(81%)</v>
      </c>
      <c r="C51" s="224">
        <f>'EXTENSIÓN Y GESTIÓN SOCIAL'!AA13</f>
        <v>34491472.404479995</v>
      </c>
      <c r="D51" s="399"/>
      <c r="E51" s="414"/>
      <c r="F51" s="233"/>
      <c r="G51" s="288"/>
      <c r="H51" s="288">
        <f>C51</f>
        <v>34491472.404479995</v>
      </c>
      <c r="I51" s="288"/>
      <c r="J51" s="288"/>
      <c r="K51" s="288"/>
      <c r="L51" s="288"/>
      <c r="M51" s="288"/>
      <c r="N51" s="288"/>
      <c r="O51" s="227"/>
      <c r="P51" s="227"/>
      <c r="Q51" s="227"/>
      <c r="R51" s="227">
        <f>SUM(F51:Q51)</f>
        <v>34491472.404479995</v>
      </c>
      <c r="S51" s="393"/>
      <c r="T51" s="430"/>
    </row>
    <row r="52" spans="1:20">
      <c r="A52" s="421" t="s">
        <v>606</v>
      </c>
      <c r="B52" s="422"/>
      <c r="C52" s="422"/>
      <c r="D52" s="423"/>
      <c r="E52" s="414"/>
      <c r="F52" s="390"/>
      <c r="G52" s="391"/>
      <c r="H52" s="391"/>
      <c r="I52" s="391"/>
      <c r="J52" s="391"/>
      <c r="K52" s="391"/>
      <c r="L52" s="391"/>
      <c r="M52" s="391"/>
      <c r="N52" s="391"/>
      <c r="O52" s="392"/>
      <c r="P52" s="392"/>
      <c r="Q52" s="392"/>
      <c r="R52" s="392"/>
      <c r="S52" s="392"/>
      <c r="T52" s="430"/>
    </row>
    <row r="53" spans="1:20" ht="35.25" customHeight="1">
      <c r="A53" s="344" t="str">
        <f>'EXTENSIÓN Y GESTIÓN SOCIAL'!B15</f>
        <v>Organizar encuentros y ruedas de negocios para la comunidad Uteísta donde participen los diferentes sectores empresariales de la región.</v>
      </c>
      <c r="B53" s="213" t="str">
        <f>'EXTENSIÓN Y GESTIÓN SOCIAL'!D15</f>
        <v>ALTA
(95%)</v>
      </c>
      <c r="C53" s="224">
        <f>'EXTENSIÓN Y GESTIÓN SOCIAL'!AA15</f>
        <v>157965889.61791998</v>
      </c>
      <c r="D53" s="416">
        <f>SUM(C53:C54)</f>
        <v>552880613.66271996</v>
      </c>
      <c r="E53" s="414"/>
      <c r="F53" s="233"/>
      <c r="G53" s="288"/>
      <c r="H53" s="288">
        <f>C53</f>
        <v>157965889.61791998</v>
      </c>
      <c r="I53" s="288"/>
      <c r="J53" s="288"/>
      <c r="K53" s="288"/>
      <c r="L53" s="288"/>
      <c r="M53" s="288"/>
      <c r="N53" s="288"/>
      <c r="O53" s="227"/>
      <c r="P53" s="227"/>
      <c r="Q53" s="227"/>
      <c r="R53" s="227">
        <f>SUM(F53:Q53)</f>
        <v>157965889.61791998</v>
      </c>
      <c r="S53" s="393">
        <f>SUM(R53:R54)</f>
        <v>552880613.66271996</v>
      </c>
      <c r="T53" s="430"/>
    </row>
    <row r="54" spans="1:20" ht="35.25" customHeight="1">
      <c r="A54" s="344" t="str">
        <f>'EXTENSIÓN Y GESTIÓN SOCIAL'!B16</f>
        <v>Crear espacios de intercambio académico y científico con instituciones de educación superior y entes gubernamentales para dar solución a problemáticas de la región.</v>
      </c>
      <c r="B54" s="213" t="str">
        <f>'EXTENSIÓN Y GESTIÓN SOCIAL'!D16</f>
        <v>MEDIA
(71%)</v>
      </c>
      <c r="C54" s="224">
        <f>'EXTENSIÓN Y GESTIÓN SOCIAL'!AA16</f>
        <v>394914724.04480004</v>
      </c>
      <c r="D54" s="399"/>
      <c r="E54" s="414"/>
      <c r="F54" s="233"/>
      <c r="G54" s="288"/>
      <c r="H54" s="288">
        <f>C54</f>
        <v>394914724.04480004</v>
      </c>
      <c r="I54" s="288"/>
      <c r="J54" s="288"/>
      <c r="K54" s="288"/>
      <c r="L54" s="288"/>
      <c r="M54" s="288"/>
      <c r="N54" s="288"/>
      <c r="O54" s="227"/>
      <c r="P54" s="227"/>
      <c r="Q54" s="227"/>
      <c r="R54" s="227">
        <f>SUM(F54:Q54)</f>
        <v>394914724.04480004</v>
      </c>
      <c r="S54" s="393"/>
      <c r="T54" s="430"/>
    </row>
    <row r="55" spans="1:20">
      <c r="A55" s="421" t="s">
        <v>607</v>
      </c>
      <c r="B55" s="422"/>
      <c r="C55" s="422"/>
      <c r="D55" s="423"/>
      <c r="E55" s="414"/>
      <c r="F55" s="390"/>
      <c r="G55" s="391"/>
      <c r="H55" s="391"/>
      <c r="I55" s="391"/>
      <c r="J55" s="391"/>
      <c r="K55" s="391"/>
      <c r="L55" s="391"/>
      <c r="M55" s="391"/>
      <c r="N55" s="391"/>
      <c r="O55" s="392"/>
      <c r="P55" s="392"/>
      <c r="Q55" s="392"/>
      <c r="R55" s="392"/>
      <c r="S55" s="392"/>
      <c r="T55" s="430"/>
    </row>
    <row r="56" spans="1:20" ht="34.5" customHeight="1">
      <c r="A56" s="344" t="str">
        <f>'EXTENSIÓN Y GESTIÓN SOCIAL'!B17</f>
        <v>Implementar planes y programas para  el seguimiento, participación y actualización de los graduados UTS.</v>
      </c>
      <c r="B56" s="213" t="str">
        <f>'EXTENSIÓN Y GESTIÓN SOCIAL'!D17</f>
        <v>ALTA
(85%)</v>
      </c>
      <c r="C56" s="224">
        <f>'EXTENSIÓN Y GESTIÓN SOCIAL'!AA17</f>
        <v>39491472.404479995</v>
      </c>
      <c r="D56" s="416">
        <f>SUM(C56:C60)</f>
        <v>171923564.453888</v>
      </c>
      <c r="E56" s="414"/>
      <c r="F56" s="233"/>
      <c r="G56" s="288"/>
      <c r="H56" s="288">
        <f>C56</f>
        <v>39491472.404479995</v>
      </c>
      <c r="I56" s="288"/>
      <c r="J56" s="288"/>
      <c r="K56" s="288"/>
      <c r="L56" s="288"/>
      <c r="M56" s="288"/>
      <c r="N56" s="288"/>
      <c r="O56" s="227"/>
      <c r="P56" s="227"/>
      <c r="Q56" s="227"/>
      <c r="R56" s="227">
        <f>SUM(F56:Q56)</f>
        <v>39491472.404479995</v>
      </c>
      <c r="S56" s="393">
        <f>SUM(R56:R60)</f>
        <v>171923564.453888</v>
      </c>
      <c r="T56" s="430"/>
    </row>
    <row r="57" spans="1:20" ht="34.5" customHeight="1">
      <c r="A57" s="344" t="str">
        <f>'EXTENSIÓN Y GESTIÓN SOCIAL'!B18</f>
        <v>Desarrollar un sistema de información que permita generar datos actualizados de los graduados de la institución para facilitar su seguimiento y contacto​.</v>
      </c>
      <c r="B57" s="213" t="str">
        <f>'EXTENSIÓN Y GESTIÓN SOCIAL'!D18</f>
        <v>ALTA
(95%)</v>
      </c>
      <c r="C57" s="224">
        <f>'EXTENSIÓN Y GESTIÓN SOCIAL'!AA18</f>
        <v>60000000</v>
      </c>
      <c r="D57" s="417"/>
      <c r="E57" s="414"/>
      <c r="F57" s="233"/>
      <c r="G57" s="288"/>
      <c r="H57" s="288"/>
      <c r="I57" s="288"/>
      <c r="J57" s="288"/>
      <c r="K57" s="288">
        <f>C57</f>
        <v>60000000</v>
      </c>
      <c r="L57" s="288"/>
      <c r="M57" s="288"/>
      <c r="N57" s="288"/>
      <c r="O57" s="227"/>
      <c r="P57" s="227"/>
      <c r="Q57" s="227"/>
      <c r="R57" s="227">
        <f>SUM(F57:Q57)</f>
        <v>60000000</v>
      </c>
      <c r="S57" s="393"/>
      <c r="T57" s="430"/>
    </row>
    <row r="58" spans="1:20" ht="34.5" customHeight="1">
      <c r="A58" s="344" t="str">
        <f>'EXTENSIÓN Y GESTIÓN SOCIAL'!B20</f>
        <v>Desarrollar estudios para determinar el impacto de los graduados de la institución para facilitar el seguimiento y contacto</v>
      </c>
      <c r="B58" s="213" t="str">
        <f>'EXTENSIÓN Y GESTIÓN SOCIAL'!D20</f>
        <v>ALTA
(85%)</v>
      </c>
      <c r="C58" s="224">
        <f>'EXTENSIÓN Y GESTIÓN SOCIAL'!AA20</f>
        <v>0</v>
      </c>
      <c r="D58" s="417"/>
      <c r="E58" s="414"/>
      <c r="F58" s="233"/>
      <c r="G58" s="288"/>
      <c r="H58" s="288"/>
      <c r="I58" s="288"/>
      <c r="J58" s="288"/>
      <c r="K58" s="288"/>
      <c r="L58" s="288"/>
      <c r="M58" s="288"/>
      <c r="N58" s="288"/>
      <c r="O58" s="227"/>
      <c r="P58" s="227"/>
      <c r="Q58" s="283">
        <f>C58</f>
        <v>0</v>
      </c>
      <c r="R58" s="227">
        <f>SUM(F58:Q58)</f>
        <v>0</v>
      </c>
      <c r="S58" s="393"/>
      <c r="T58" s="430"/>
    </row>
    <row r="59" spans="1:20" ht="34.5" customHeight="1">
      <c r="A59" s="344" t="str">
        <f>'EXTENSIÓN Y GESTIÓN SOCIAL'!B21</f>
        <v xml:space="preserve">Creación del micro sitio web dentro del portal UTS, donde se visualice la oferta institucional en materia de empleabilidad, educación continua y otros aspectos relevantes. </v>
      </c>
      <c r="B59" s="213" t="str">
        <f>'EXTENSIÓN Y GESTIÓN SOCIAL'!D21</f>
        <v>ALTA
(81%)</v>
      </c>
      <c r="C59" s="224">
        <f>'EXTENSIÓN Y GESTIÓN SOCIAL'!AA21</f>
        <v>72432092.049408004</v>
      </c>
      <c r="D59" s="417"/>
      <c r="E59" s="414"/>
      <c r="F59" s="233"/>
      <c r="G59" s="288"/>
      <c r="H59" s="288"/>
      <c r="I59" s="288"/>
      <c r="J59" s="288"/>
      <c r="K59" s="288">
        <f>C59</f>
        <v>72432092.049408004</v>
      </c>
      <c r="L59" s="288"/>
      <c r="M59" s="288"/>
      <c r="N59" s="288"/>
      <c r="O59" s="227"/>
      <c r="P59" s="227"/>
      <c r="Q59" s="227"/>
      <c r="R59" s="227">
        <f>SUM(F59:Q59)</f>
        <v>72432092.049408004</v>
      </c>
      <c r="S59" s="393"/>
      <c r="T59" s="430"/>
    </row>
    <row r="60" spans="1:20" ht="34.5" customHeight="1">
      <c r="A60" s="344" t="str">
        <f>'EXTENSIÓN Y GESTIÓN SOCIAL'!B23</f>
        <v>Generar boletines digitales para compartir información de interés general a la población de graduados a través de los medios de difusión y comunicación.</v>
      </c>
      <c r="B60" s="213" t="str">
        <f>'EXTENSIÓN Y GESTIÓN SOCIAL'!D23</f>
        <v>MEDIA
(76%)</v>
      </c>
      <c r="C60" s="224">
        <f>'EXTENSIÓN Y GESTIÓN SOCIAL'!AA23</f>
        <v>0</v>
      </c>
      <c r="D60" s="399"/>
      <c r="E60" s="414"/>
      <c r="F60" s="233"/>
      <c r="G60" s="288"/>
      <c r="H60" s="288"/>
      <c r="I60" s="288"/>
      <c r="J60" s="288"/>
      <c r="K60" s="288"/>
      <c r="L60" s="288"/>
      <c r="M60" s="288"/>
      <c r="N60" s="288"/>
      <c r="O60" s="227"/>
      <c r="P60" s="227"/>
      <c r="Q60" s="283">
        <f>C60</f>
        <v>0</v>
      </c>
      <c r="R60" s="227">
        <f>SUM(F60:Q60)</f>
        <v>0</v>
      </c>
      <c r="S60" s="393"/>
      <c r="T60" s="430"/>
    </row>
    <row r="61" spans="1:20">
      <c r="A61" s="421" t="s">
        <v>608</v>
      </c>
      <c r="B61" s="422"/>
      <c r="C61" s="422"/>
      <c r="D61" s="423"/>
      <c r="E61" s="414"/>
      <c r="F61" s="390"/>
      <c r="G61" s="391"/>
      <c r="H61" s="391"/>
      <c r="I61" s="391"/>
      <c r="J61" s="391"/>
      <c r="K61" s="391"/>
      <c r="L61" s="391"/>
      <c r="M61" s="391"/>
      <c r="N61" s="391"/>
      <c r="O61" s="392"/>
      <c r="P61" s="392"/>
      <c r="Q61" s="392"/>
      <c r="R61" s="392"/>
      <c r="S61" s="392"/>
      <c r="T61" s="430"/>
    </row>
    <row r="62" spans="1:20" ht="35.25" customHeight="1">
      <c r="A62" s="344" t="str">
        <f>'EXTENSIÓN Y GESTIÓN SOCIAL'!B24</f>
        <v>Ampliar la oferta institucional de educación continua (cursos, talleres, seminarios, diplomados) que responda a las necesidades del mundo laboral y permita la actualización de conocimientos de la comunidad uteísta.</v>
      </c>
      <c r="B62" s="213" t="str">
        <f>'EXTENSIÓN Y GESTIÓN SOCIAL'!D24</f>
        <v>ALTA
(90%)</v>
      </c>
      <c r="C62" s="141">
        <f>'EXTENSIÓN Y GESTIÓN SOCIAL'!AA24</f>
        <v>0</v>
      </c>
      <c r="D62" s="141">
        <f>C62</f>
        <v>0</v>
      </c>
      <c r="E62" s="414"/>
      <c r="F62" s="233"/>
      <c r="G62" s="288"/>
      <c r="H62" s="288"/>
      <c r="I62" s="288"/>
      <c r="J62" s="288"/>
      <c r="K62" s="288"/>
      <c r="L62" s="288"/>
      <c r="M62" s="288"/>
      <c r="N62" s="288"/>
      <c r="O62" s="227"/>
      <c r="P62" s="227"/>
      <c r="Q62" s="283">
        <f>C62</f>
        <v>0</v>
      </c>
      <c r="R62" s="227">
        <f>SUM(F62:Q62)</f>
        <v>0</v>
      </c>
      <c r="S62" s="227">
        <f>R62</f>
        <v>0</v>
      </c>
      <c r="T62" s="430"/>
    </row>
    <row r="63" spans="1:20">
      <c r="A63" s="421" t="s">
        <v>609</v>
      </c>
      <c r="B63" s="422"/>
      <c r="C63" s="422"/>
      <c r="D63" s="423"/>
      <c r="E63" s="414"/>
      <c r="F63" s="390"/>
      <c r="G63" s="391"/>
      <c r="H63" s="391"/>
      <c r="I63" s="391"/>
      <c r="J63" s="391"/>
      <c r="K63" s="391"/>
      <c r="L63" s="391"/>
      <c r="M63" s="391"/>
      <c r="N63" s="391"/>
      <c r="O63" s="392"/>
      <c r="P63" s="392"/>
      <c r="Q63" s="392"/>
      <c r="R63" s="392"/>
      <c r="S63" s="392"/>
      <c r="T63" s="430"/>
    </row>
    <row r="64" spans="1:20" ht="38.25" customHeight="1">
      <c r="A64" s="344" t="str">
        <f>'EXTENSIÓN Y GESTIÓN SOCIAL'!B25</f>
        <v>Crear un portafolio de servicios de extensión para el sector productivo y de la educación.</v>
      </c>
      <c r="B64" s="213" t="str">
        <f>'EXTENSIÓN Y GESTIÓN SOCIAL'!D25</f>
        <v>ALTA
(95%)</v>
      </c>
      <c r="C64" s="224">
        <f>'EXTENSIÓN Y GESTIÓN SOCIAL'!AA25</f>
        <v>0</v>
      </c>
      <c r="D64" s="416">
        <f>SUM(C64:C65)</f>
        <v>0</v>
      </c>
      <c r="E64" s="414"/>
      <c r="F64" s="233"/>
      <c r="G64" s="288"/>
      <c r="H64" s="288"/>
      <c r="I64" s="288"/>
      <c r="J64" s="288"/>
      <c r="K64" s="288"/>
      <c r="L64" s="288"/>
      <c r="M64" s="288"/>
      <c r="N64" s="288"/>
      <c r="O64" s="227"/>
      <c r="P64" s="227"/>
      <c r="Q64" s="283">
        <f>C64</f>
        <v>0</v>
      </c>
      <c r="R64" s="227">
        <f>SUM(F64:Q64)</f>
        <v>0</v>
      </c>
      <c r="S64" s="393">
        <f>SUM(R64:R65)</f>
        <v>0</v>
      </c>
      <c r="T64" s="430"/>
    </row>
    <row r="65" spans="1:20" ht="38.25" customHeight="1">
      <c r="A65" s="344" t="str">
        <f>'EXTENSIÓN Y GESTIÓN SOCIAL'!B26</f>
        <v>Establecer y mantener actualizado un portafolio de servicios para el desarrollo de proyectos y prácticas de acuerdo a las necesidades de la región.</v>
      </c>
      <c r="B65" s="213" t="str">
        <f>'EXTENSIÓN Y GESTIÓN SOCIAL'!D26</f>
        <v>ALTA
(95%)</v>
      </c>
      <c r="C65" s="224">
        <f>'EXTENSIÓN Y GESTIÓN SOCIAL'!AA26</f>
        <v>0</v>
      </c>
      <c r="D65" s="399"/>
      <c r="E65" s="415"/>
      <c r="F65" s="233"/>
      <c r="G65" s="288"/>
      <c r="H65" s="288"/>
      <c r="I65" s="288"/>
      <c r="J65" s="288"/>
      <c r="K65" s="288"/>
      <c r="L65" s="288"/>
      <c r="M65" s="288"/>
      <c r="N65" s="288"/>
      <c r="O65" s="227"/>
      <c r="P65" s="227"/>
      <c r="Q65" s="283">
        <f>C65</f>
        <v>0</v>
      </c>
      <c r="R65" s="227">
        <f>SUM(F65:Q65)</f>
        <v>0</v>
      </c>
      <c r="S65" s="393"/>
      <c r="T65" s="431"/>
    </row>
    <row r="66" spans="1:20" ht="21" customHeight="1">
      <c r="A66" s="403" t="s">
        <v>582</v>
      </c>
      <c r="B66" s="403"/>
      <c r="C66" s="403"/>
      <c r="D66" s="403"/>
      <c r="E66" s="404"/>
      <c r="F66" s="291">
        <f>F68+F70+F71+F72+F74</f>
        <v>0</v>
      </c>
      <c r="G66" s="292">
        <f t="shared" ref="G66:Q66" si="3">G68+G70+G71+G72+G74</f>
        <v>0</v>
      </c>
      <c r="H66" s="292">
        <f t="shared" si="3"/>
        <v>0</v>
      </c>
      <c r="I66" s="292">
        <f t="shared" si="3"/>
        <v>0</v>
      </c>
      <c r="J66" s="292">
        <f t="shared" si="3"/>
        <v>0</v>
      </c>
      <c r="K66" s="292">
        <f t="shared" si="3"/>
        <v>0</v>
      </c>
      <c r="L66" s="292">
        <f t="shared" si="3"/>
        <v>0</v>
      </c>
      <c r="M66" s="292">
        <f t="shared" si="3"/>
        <v>0</v>
      </c>
      <c r="N66" s="292">
        <f t="shared" si="3"/>
        <v>0</v>
      </c>
      <c r="O66" s="292">
        <f t="shared" si="3"/>
        <v>0</v>
      </c>
      <c r="P66" s="292">
        <f t="shared" si="3"/>
        <v>8588123928.9856005</v>
      </c>
      <c r="Q66" s="292">
        <f t="shared" si="3"/>
        <v>0</v>
      </c>
      <c r="R66" s="245"/>
      <c r="S66" s="245"/>
      <c r="T66" s="247"/>
    </row>
    <row r="67" spans="1:20">
      <c r="A67" s="421" t="s">
        <v>610</v>
      </c>
      <c r="B67" s="422"/>
      <c r="C67" s="422"/>
      <c r="D67" s="423"/>
      <c r="E67" s="413">
        <f>D68+D70+D74</f>
        <v>8588123928.9856005</v>
      </c>
      <c r="F67" s="390"/>
      <c r="G67" s="391"/>
      <c r="H67" s="391"/>
      <c r="I67" s="391"/>
      <c r="J67" s="391"/>
      <c r="K67" s="391"/>
      <c r="L67" s="391"/>
      <c r="M67" s="391"/>
      <c r="N67" s="391"/>
      <c r="O67" s="392"/>
      <c r="P67" s="392"/>
      <c r="Q67" s="392"/>
      <c r="R67" s="392"/>
      <c r="S67" s="392"/>
      <c r="T67" s="429">
        <f>S68+S70+S74</f>
        <v>8588123928.9856005</v>
      </c>
    </row>
    <row r="68" spans="1:20" ht="45" customHeight="1">
      <c r="A68" s="344" t="str">
        <f>'ASEGURAMIENTO CALIDAD EDUCACIÓN'!B5</f>
        <v>Divulgación de los tópicos propios de cada área para fomentar la cultura de la autoevaluación, autocontrol y autorregulación para fortalecer el seguimiento y el desarrollo de los planes de mejoramiento continuo de la institución</v>
      </c>
      <c r="B68" s="213" t="str">
        <f>'ASEGURAMIENTO CALIDAD EDUCACIÓN'!D5</f>
        <v>ALTA
(90%)</v>
      </c>
      <c r="C68" s="141">
        <f>'ASEGURAMIENTO CALIDAD EDUCACIÓN'!AA5</f>
        <v>0</v>
      </c>
      <c r="D68" s="141">
        <f>C68</f>
        <v>0</v>
      </c>
      <c r="E68" s="414"/>
      <c r="F68" s="233"/>
      <c r="G68" s="288"/>
      <c r="H68" s="288"/>
      <c r="I68" s="288"/>
      <c r="J68" s="288"/>
      <c r="K68" s="288"/>
      <c r="L68" s="288"/>
      <c r="M68" s="288"/>
      <c r="N68" s="288"/>
      <c r="O68" s="227"/>
      <c r="P68" s="227"/>
      <c r="Q68" s="227">
        <f>C68</f>
        <v>0</v>
      </c>
      <c r="R68" s="227">
        <f>SUM(F68:Q68)</f>
        <v>0</v>
      </c>
      <c r="S68" s="227">
        <f>R68</f>
        <v>0</v>
      </c>
      <c r="T68" s="430"/>
    </row>
    <row r="69" spans="1:20">
      <c r="A69" s="421" t="s">
        <v>611</v>
      </c>
      <c r="B69" s="422"/>
      <c r="C69" s="422"/>
      <c r="D69" s="423"/>
      <c r="E69" s="414"/>
      <c r="F69" s="390"/>
      <c r="G69" s="391"/>
      <c r="H69" s="391"/>
      <c r="I69" s="391"/>
      <c r="J69" s="391"/>
      <c r="K69" s="391"/>
      <c r="L69" s="391"/>
      <c r="M69" s="391"/>
      <c r="N69" s="391"/>
      <c r="O69" s="392"/>
      <c r="P69" s="392"/>
      <c r="Q69" s="392"/>
      <c r="R69" s="392"/>
      <c r="S69" s="392"/>
      <c r="T69" s="430"/>
    </row>
    <row r="70" spans="1:20" ht="75" customHeight="1">
      <c r="A70" s="344" t="str">
        <f>'ASEGURAMIENTO CALIDAD EDUCACIÓN'!B7</f>
        <v>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evidencie el funcionamiento de las diferentes instancias que se interrelacionan para el aseguramiento y el mejoramiento permanente de la calidad de la institución.</v>
      </c>
      <c r="B70" s="217" t="str">
        <f>'ASEGURAMIENTO CALIDAD EDUCACIÓN'!D7</f>
        <v>ALTA
(91%)</v>
      </c>
      <c r="C70" s="224">
        <f>'ASEGURAMIENTO CALIDAD EDUCACIÓN'!AA7</f>
        <v>1479658896.1792002</v>
      </c>
      <c r="D70" s="416">
        <f>SUM(C70:C72)</f>
        <v>8588123928.9856005</v>
      </c>
      <c r="E70" s="414"/>
      <c r="F70" s="233"/>
      <c r="G70" s="288"/>
      <c r="H70" s="288"/>
      <c r="I70" s="288"/>
      <c r="J70" s="288"/>
      <c r="K70" s="288"/>
      <c r="L70" s="288"/>
      <c r="M70" s="288"/>
      <c r="N70" s="288"/>
      <c r="O70" s="227"/>
      <c r="P70" s="227">
        <f>C70</f>
        <v>1479658896.1792002</v>
      </c>
      <c r="Q70" s="227"/>
      <c r="R70" s="227">
        <f>SUM(F70:Q70)</f>
        <v>1479658896.1792002</v>
      </c>
      <c r="S70" s="393">
        <f>SUM(R70:R72)</f>
        <v>8588123928.9856005</v>
      </c>
      <c r="T70" s="430"/>
    </row>
    <row r="71" spans="1:20" ht="36.75" customHeight="1">
      <c r="A71" s="344" t="str">
        <f>'ASEGURAMIENTO CALIDAD EDUCACIÓN'!B12</f>
        <v>Actualizar el modelo institucional de autoevaluación y autorregulación de las UTS en correspondencia con la normatividad vigente para educación superior.</v>
      </c>
      <c r="B71" s="217" t="str">
        <f>'ASEGURAMIENTO CALIDAD EDUCACIÓN'!D12</f>
        <v>ALTA
(81%)</v>
      </c>
      <c r="C71" s="224">
        <f>'ASEGURAMIENTO CALIDAD EDUCACIÓN'!AA12</f>
        <v>0</v>
      </c>
      <c r="D71" s="417"/>
      <c r="E71" s="414"/>
      <c r="F71" s="233"/>
      <c r="G71" s="288"/>
      <c r="H71" s="288"/>
      <c r="I71" s="288"/>
      <c r="J71" s="288"/>
      <c r="K71" s="288"/>
      <c r="L71" s="288"/>
      <c r="M71" s="288"/>
      <c r="N71" s="288"/>
      <c r="O71" s="227"/>
      <c r="P71" s="227"/>
      <c r="Q71" s="227">
        <f>C71</f>
        <v>0</v>
      </c>
      <c r="R71" s="227">
        <f>SUM(F71:Q71)</f>
        <v>0</v>
      </c>
      <c r="S71" s="393"/>
      <c r="T71" s="430"/>
    </row>
    <row r="72" spans="1:20" ht="48.75" customHeight="1">
      <c r="A72" s="344" t="str">
        <f>'ASEGURAMIENTO CALIDAD EDUCACIÓN'!B13</f>
        <v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v>
      </c>
      <c r="B72" s="217" t="str">
        <f>'ASEGURAMIENTO CALIDAD EDUCACIÓN'!D13</f>
        <v>ALTA
(85%)</v>
      </c>
      <c r="C72" s="224">
        <f>'ASEGURAMIENTO CALIDAD EDUCACIÓN'!AA13</f>
        <v>7108465032.8064003</v>
      </c>
      <c r="D72" s="399"/>
      <c r="E72" s="414"/>
      <c r="F72" s="233"/>
      <c r="G72" s="288"/>
      <c r="H72" s="288"/>
      <c r="I72" s="288"/>
      <c r="J72" s="288"/>
      <c r="K72" s="288"/>
      <c r="L72" s="288"/>
      <c r="M72" s="288"/>
      <c r="N72" s="288"/>
      <c r="O72" s="227"/>
      <c r="P72" s="227">
        <f>C72</f>
        <v>7108465032.8064003</v>
      </c>
      <c r="Q72" s="227"/>
      <c r="R72" s="227">
        <f>SUM(F72:Q72)</f>
        <v>7108465032.8064003</v>
      </c>
      <c r="S72" s="393"/>
      <c r="T72" s="430"/>
    </row>
    <row r="73" spans="1:20">
      <c r="A73" s="421" t="s">
        <v>612</v>
      </c>
      <c r="B73" s="422"/>
      <c r="C73" s="422"/>
      <c r="D73" s="423"/>
      <c r="E73" s="414"/>
      <c r="F73" s="390"/>
      <c r="G73" s="391"/>
      <c r="H73" s="391"/>
      <c r="I73" s="391"/>
      <c r="J73" s="391"/>
      <c r="K73" s="391"/>
      <c r="L73" s="391"/>
      <c r="M73" s="391"/>
      <c r="N73" s="391"/>
      <c r="O73" s="392"/>
      <c r="P73" s="392"/>
      <c r="Q73" s="392"/>
      <c r="R73" s="392"/>
      <c r="S73" s="392"/>
      <c r="T73" s="430"/>
    </row>
    <row r="74" spans="1:20" ht="60.75" customHeight="1">
      <c r="A74" s="344" t="str">
        <f>'ASEGURAMIENTO CALIDAD EDUCACIÓN'!B14</f>
        <v>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v>
      </c>
      <c r="B74" s="213" t="str">
        <f>'ASEGURAMIENTO CALIDAD EDUCACIÓN'!D14</f>
        <v>ALTA
(100%)</v>
      </c>
      <c r="C74" s="141">
        <f>'ASEGURAMIENTO CALIDAD EDUCACIÓN'!AA14</f>
        <v>0</v>
      </c>
      <c r="D74" s="141">
        <f>C74</f>
        <v>0</v>
      </c>
      <c r="E74" s="415"/>
      <c r="F74" s="233"/>
      <c r="G74" s="288"/>
      <c r="H74" s="288"/>
      <c r="I74" s="288"/>
      <c r="J74" s="288"/>
      <c r="K74" s="288"/>
      <c r="L74" s="288"/>
      <c r="M74" s="288"/>
      <c r="N74" s="288"/>
      <c r="O74" s="227"/>
      <c r="P74" s="227"/>
      <c r="Q74" s="283">
        <f>C74</f>
        <v>0</v>
      </c>
      <c r="R74" s="227">
        <f>SUM(F74:Q74)</f>
        <v>0</v>
      </c>
      <c r="S74" s="227">
        <f>R74</f>
        <v>0</v>
      </c>
      <c r="T74" s="431"/>
    </row>
    <row r="75" spans="1:20" ht="22.5" customHeight="1">
      <c r="A75" s="406" t="s">
        <v>583</v>
      </c>
      <c r="B75" s="406"/>
      <c r="C75" s="406"/>
      <c r="D75" s="406"/>
      <c r="E75" s="407"/>
      <c r="F75" s="432"/>
      <c r="G75" s="433"/>
      <c r="H75" s="433"/>
      <c r="I75" s="433"/>
      <c r="J75" s="433"/>
      <c r="K75" s="433"/>
      <c r="L75" s="433"/>
      <c r="M75" s="433"/>
      <c r="N75" s="433"/>
      <c r="O75" s="433"/>
      <c r="P75" s="433"/>
      <c r="Q75" s="433"/>
      <c r="R75" s="433"/>
      <c r="S75" s="433"/>
      <c r="T75" s="434"/>
    </row>
    <row r="76" spans="1:20" ht="21" customHeight="1">
      <c r="A76" s="403" t="s">
        <v>584</v>
      </c>
      <c r="B76" s="403"/>
      <c r="C76" s="403"/>
      <c r="D76" s="403"/>
      <c r="E76" s="404"/>
      <c r="F76" s="291">
        <f>F78+F79+F81+F82+F84+F85+F86+F87+F89+F90+F91+F92+F94+F95+F96</f>
        <v>551157055.48800004</v>
      </c>
      <c r="G76" s="292">
        <f t="shared" ref="G76:Q76" si="4">G78+G79+G81+G82+G84+G85+G86+G87+G89+G90+G91+G92+G94+G95+G96</f>
        <v>0</v>
      </c>
      <c r="H76" s="292">
        <f t="shared" si="4"/>
        <v>2069788405.5756798</v>
      </c>
      <c r="I76" s="292">
        <f t="shared" si="4"/>
        <v>0</v>
      </c>
      <c r="J76" s="292">
        <f t="shared" si="4"/>
        <v>0</v>
      </c>
      <c r="K76" s="292">
        <f t="shared" si="4"/>
        <v>0</v>
      </c>
      <c r="L76" s="292">
        <f t="shared" si="4"/>
        <v>6286727057.1212807</v>
      </c>
      <c r="M76" s="292">
        <f t="shared" si="4"/>
        <v>0</v>
      </c>
      <c r="N76" s="292">
        <f t="shared" si="4"/>
        <v>0</v>
      </c>
      <c r="O76" s="292">
        <f t="shared" si="4"/>
        <v>551157055.48800004</v>
      </c>
      <c r="P76" s="292">
        <f t="shared" si="4"/>
        <v>0</v>
      </c>
      <c r="Q76" s="292">
        <f t="shared" si="4"/>
        <v>0</v>
      </c>
      <c r="R76" s="245"/>
      <c r="S76" s="245"/>
      <c r="T76" s="247"/>
    </row>
    <row r="77" spans="1:20">
      <c r="A77" s="421" t="s">
        <v>613</v>
      </c>
      <c r="B77" s="422"/>
      <c r="C77" s="422"/>
      <c r="D77" s="423"/>
      <c r="E77" s="413">
        <f>D78+D81+D84+D89+D94</f>
        <v>9458829573.6729603</v>
      </c>
      <c r="F77" s="390"/>
      <c r="G77" s="391"/>
      <c r="H77" s="391"/>
      <c r="I77" s="391"/>
      <c r="J77" s="391"/>
      <c r="K77" s="391"/>
      <c r="L77" s="391"/>
      <c r="M77" s="391"/>
      <c r="N77" s="391"/>
      <c r="O77" s="392"/>
      <c r="P77" s="392"/>
      <c r="Q77" s="392"/>
      <c r="R77" s="392"/>
      <c r="S77" s="392"/>
      <c r="T77" s="429">
        <f>S78+S81+S84+S89+S94</f>
        <v>9458829573.6729603</v>
      </c>
    </row>
    <row r="78" spans="1:20" ht="32.25" customHeight="1">
      <c r="A78" s="344" t="str">
        <f>'INNOVACION Y PRODUCTIVIDAD '!B5</f>
        <v>UTSmart: hacia una transformación digital UTS</v>
      </c>
      <c r="B78" s="217" t="str">
        <f>'INNOVACION Y PRODUCTIVIDAD '!D5</f>
        <v>ALTA
(98%)</v>
      </c>
      <c r="C78" s="224">
        <f>'INNOVACION Y PRODUCTIVIDAD '!AA5</f>
        <v>908303865.30304003</v>
      </c>
      <c r="D78" s="416">
        <f>SUM(C78:C79)</f>
        <v>1382201534.1568</v>
      </c>
      <c r="E78" s="414"/>
      <c r="F78" s="233"/>
      <c r="G78" s="288"/>
      <c r="H78" s="288">
        <f>C78</f>
        <v>908303865.30304003</v>
      </c>
      <c r="I78" s="288"/>
      <c r="J78" s="288"/>
      <c r="K78" s="288"/>
      <c r="L78" s="288"/>
      <c r="M78" s="288"/>
      <c r="N78" s="288"/>
      <c r="O78" s="283"/>
      <c r="P78" s="283"/>
      <c r="Q78" s="283"/>
      <c r="R78" s="283">
        <f>SUM(F78:Q78)</f>
        <v>908303865.30304003</v>
      </c>
      <c r="S78" s="393">
        <f>SUM(R78:R79)</f>
        <v>1382201534.1568</v>
      </c>
      <c r="T78" s="430"/>
    </row>
    <row r="79" spans="1:20" ht="32.25" customHeight="1">
      <c r="A79" s="344" t="str">
        <f>'INNOVACION Y PRODUCTIVIDAD '!B9</f>
        <v>Promover una cultura de creatividad, innovación y emprendimiento en la comunidad Uteísta.</v>
      </c>
      <c r="B79" s="217" t="str">
        <f>'INNOVACION Y PRODUCTIVIDAD '!D9</f>
        <v>MEDIA
(77%)</v>
      </c>
      <c r="C79" s="224">
        <f>'INNOVACION Y PRODUCTIVIDAD '!AA9</f>
        <v>473897668.85376</v>
      </c>
      <c r="D79" s="399"/>
      <c r="E79" s="414"/>
      <c r="F79" s="233"/>
      <c r="G79" s="288"/>
      <c r="H79" s="288">
        <f>C79</f>
        <v>473897668.85376</v>
      </c>
      <c r="I79" s="288"/>
      <c r="J79" s="288"/>
      <c r="K79" s="288"/>
      <c r="L79" s="288"/>
      <c r="M79" s="288"/>
      <c r="N79" s="288"/>
      <c r="O79" s="283"/>
      <c r="P79" s="283"/>
      <c r="Q79" s="283"/>
      <c r="R79" s="283">
        <f>SUM(F79:Q79)</f>
        <v>473897668.85376</v>
      </c>
      <c r="S79" s="393"/>
      <c r="T79" s="430"/>
    </row>
    <row r="80" spans="1:20">
      <c r="A80" s="421" t="s">
        <v>614</v>
      </c>
      <c r="B80" s="422"/>
      <c r="C80" s="422"/>
      <c r="D80" s="423"/>
      <c r="E80" s="414"/>
      <c r="F80" s="390"/>
      <c r="G80" s="391"/>
      <c r="H80" s="391"/>
      <c r="I80" s="391"/>
      <c r="J80" s="391"/>
      <c r="K80" s="391"/>
      <c r="L80" s="391"/>
      <c r="M80" s="391"/>
      <c r="N80" s="391"/>
      <c r="O80" s="392"/>
      <c r="P80" s="392"/>
      <c r="Q80" s="392"/>
      <c r="R80" s="392"/>
      <c r="S80" s="392"/>
      <c r="T80" s="430"/>
    </row>
    <row r="81" spans="1:20" ht="45" customHeight="1">
      <c r="A81" s="341" t="str">
        <f>'INNOVACION Y PRODUCTIVIDAD '!B10</f>
        <v xml:space="preserve">Ejecutar procesos de innovación educativa, dentro y fuera del aula, en uso de tecnologías (Educación a Distancia, B-Learning, E-Learning), investigación aplicada en los procesos de enseñanza y aprendizaje, mecanismos de evaluación y autoaprendizaje. </v>
      </c>
      <c r="B81" s="307" t="str">
        <f>'INNOVACION Y PRODUCTIVIDAD '!D10</f>
        <v>ALTA
(96%)</v>
      </c>
      <c r="C81" s="224">
        <f>'INNOVACION Y PRODUCTIVIDAD '!AA10</f>
        <v>0</v>
      </c>
      <c r="D81" s="416">
        <f>SUM(C81:C82)</f>
        <v>1102314110.9760001</v>
      </c>
      <c r="E81" s="414"/>
      <c r="F81" s="233"/>
      <c r="G81" s="288"/>
      <c r="H81" s="288"/>
      <c r="I81" s="288"/>
      <c r="J81" s="288"/>
      <c r="K81" s="288"/>
      <c r="L81" s="288"/>
      <c r="M81" s="288"/>
      <c r="N81" s="288"/>
      <c r="O81" s="283"/>
      <c r="P81" s="283"/>
      <c r="Q81" s="283">
        <f>C81</f>
        <v>0</v>
      </c>
      <c r="R81" s="283">
        <f>SUM(F81:Q81)</f>
        <v>0</v>
      </c>
      <c r="S81" s="393">
        <f>SUM(R81:R82)</f>
        <v>1102314110.9760001</v>
      </c>
      <c r="T81" s="430"/>
    </row>
    <row r="82" spans="1:20" ht="35.25" customHeight="1">
      <c r="A82" s="344" t="str">
        <f>'INNOVACION Y PRODUCTIVIDAD '!B11</f>
        <v xml:space="preserve">Promover el uso de herramientas digitales para la formación de personas en situación de discapacidad. </v>
      </c>
      <c r="B82" s="217" t="str">
        <f>'INNOVACION Y PRODUCTIVIDAD '!D11</f>
        <v>MEDIA
(72%)</v>
      </c>
      <c r="C82" s="224">
        <f>'INNOVACION Y PRODUCTIVIDAD '!AA11</f>
        <v>1102314110.9760001</v>
      </c>
      <c r="D82" s="399"/>
      <c r="E82" s="414"/>
      <c r="F82" s="233">
        <f>C82/2</f>
        <v>551157055.48800004</v>
      </c>
      <c r="G82" s="288"/>
      <c r="H82" s="288"/>
      <c r="I82" s="288"/>
      <c r="J82" s="288"/>
      <c r="K82" s="288"/>
      <c r="L82" s="288"/>
      <c r="M82" s="288"/>
      <c r="N82" s="288"/>
      <c r="O82" s="283">
        <f>C82/2</f>
        <v>551157055.48800004</v>
      </c>
      <c r="P82" s="283"/>
      <c r="Q82" s="283"/>
      <c r="R82" s="283">
        <f>SUM(F82:Q82)</f>
        <v>1102314110.9760001</v>
      </c>
      <c r="S82" s="393"/>
      <c r="T82" s="430"/>
    </row>
    <row r="83" spans="1:20">
      <c r="A83" s="421" t="s">
        <v>615</v>
      </c>
      <c r="B83" s="422"/>
      <c r="C83" s="422"/>
      <c r="D83" s="423"/>
      <c r="E83" s="414"/>
      <c r="F83" s="390"/>
      <c r="G83" s="391"/>
      <c r="H83" s="391"/>
      <c r="I83" s="391"/>
      <c r="J83" s="391"/>
      <c r="K83" s="391"/>
      <c r="L83" s="391"/>
      <c r="M83" s="391"/>
      <c r="N83" s="391"/>
      <c r="O83" s="392"/>
      <c r="P83" s="392"/>
      <c r="Q83" s="392"/>
      <c r="R83" s="392"/>
      <c r="S83" s="392"/>
      <c r="T83" s="430"/>
    </row>
    <row r="84" spans="1:20" ht="33.75" customHeight="1">
      <c r="A84" s="344" t="str">
        <f>'INNOVACION Y PRODUCTIVIDAD '!B12</f>
        <v>Desarrollar laboratorios de ideación, pruebas de concepto y de UX (Usabilidad y Accesibilidad).</v>
      </c>
      <c r="B84" s="217" t="str">
        <f>'INNOVACION Y PRODUCTIVIDAD '!D12</f>
        <v>ALTA
(86%)</v>
      </c>
      <c r="C84" s="224">
        <f>'INNOVACION Y PRODUCTIVIDAD '!AA12</f>
        <v>450638036.99199998</v>
      </c>
      <c r="D84" s="416">
        <f>SUM(C84:C87)</f>
        <v>450638036.99199998</v>
      </c>
      <c r="E84" s="414"/>
      <c r="F84" s="233"/>
      <c r="G84" s="288"/>
      <c r="H84" s="288">
        <f>C84</f>
        <v>450638036.99199998</v>
      </c>
      <c r="I84" s="288"/>
      <c r="J84" s="288"/>
      <c r="K84" s="288"/>
      <c r="L84" s="288"/>
      <c r="M84" s="288"/>
      <c r="N84" s="288"/>
      <c r="O84" s="283"/>
      <c r="P84" s="283"/>
      <c r="Q84" s="283"/>
      <c r="R84" s="283">
        <f>SUM(F84:Q84)</f>
        <v>450638036.99199998</v>
      </c>
      <c r="S84" s="393">
        <f>SUM(R84:R87)</f>
        <v>450638036.99199998</v>
      </c>
      <c r="T84" s="430"/>
    </row>
    <row r="85" spans="1:20" ht="33.75" customHeight="1">
      <c r="A85" s="344" t="str">
        <f>'INNOVACION Y PRODUCTIVIDAD '!B13</f>
        <v>Desarrollar proyectos y estrategias de carácter científico, tecnológico y de innovación, que fortalezcan los sectores productivos y de educación en Colombia.</v>
      </c>
      <c r="B85" s="217" t="str">
        <f>'INNOVACION Y PRODUCTIVIDAD '!D13</f>
        <v>ALTA
(84%)</v>
      </c>
      <c r="C85" s="224">
        <f>'INNOVACION Y PRODUCTIVIDAD '!AA13</f>
        <v>0</v>
      </c>
      <c r="D85" s="417"/>
      <c r="E85" s="414"/>
      <c r="F85" s="233"/>
      <c r="G85" s="288"/>
      <c r="H85" s="288"/>
      <c r="I85" s="288"/>
      <c r="J85" s="288"/>
      <c r="K85" s="288"/>
      <c r="L85" s="288"/>
      <c r="M85" s="288"/>
      <c r="N85" s="288"/>
      <c r="O85" s="283"/>
      <c r="P85" s="283"/>
      <c r="Q85" s="283">
        <f>C85</f>
        <v>0</v>
      </c>
      <c r="R85" s="283">
        <f>SUM(F85:Q85)</f>
        <v>0</v>
      </c>
      <c r="S85" s="393"/>
      <c r="T85" s="430"/>
    </row>
    <row r="86" spans="1:20" ht="33.75" customHeight="1">
      <c r="A86" s="342" t="str">
        <f>'INNOVACION Y PRODUCTIVIDAD '!B14</f>
        <v xml:space="preserve">Generar innovaciones a nivel pedagógico, organizacional, social, creación artística y cultural en procesos y en productos. </v>
      </c>
      <c r="B86" s="216" t="str">
        <f>'INNOVACION Y PRODUCTIVIDAD '!D14</f>
        <v>ALTA
(84%)</v>
      </c>
      <c r="C86" s="224">
        <f>'INNOVACION Y PRODUCTIVIDAD '!AA14</f>
        <v>0</v>
      </c>
      <c r="D86" s="417"/>
      <c r="E86" s="414"/>
      <c r="F86" s="233"/>
      <c r="G86" s="288"/>
      <c r="H86" s="288"/>
      <c r="I86" s="288"/>
      <c r="J86" s="288"/>
      <c r="K86" s="288"/>
      <c r="L86" s="288"/>
      <c r="M86" s="288"/>
      <c r="N86" s="288"/>
      <c r="O86" s="283"/>
      <c r="P86" s="283"/>
      <c r="Q86" s="283">
        <f>C86</f>
        <v>0</v>
      </c>
      <c r="R86" s="283">
        <f>SUM(F86:Q86)</f>
        <v>0</v>
      </c>
      <c r="S86" s="393"/>
      <c r="T86" s="430"/>
    </row>
    <row r="87" spans="1:20" ht="33.75" customHeight="1">
      <c r="A87" s="344" t="str">
        <f>'INNOVACION Y PRODUCTIVIDAD '!B15</f>
        <v>Implementar programas de cultura de innovación, apropiación y transferencia de conocimiento y tecnología.</v>
      </c>
      <c r="B87" s="217" t="str">
        <f>'INNOVACION Y PRODUCTIVIDAD '!D15</f>
        <v>MEDIA
(76%)</v>
      </c>
      <c r="C87" s="224">
        <f>'INNOVACION Y PRODUCTIVIDAD '!AA15</f>
        <v>0</v>
      </c>
      <c r="D87" s="399"/>
      <c r="E87" s="414"/>
      <c r="F87" s="233"/>
      <c r="G87" s="288"/>
      <c r="H87" s="288"/>
      <c r="I87" s="288"/>
      <c r="J87" s="288"/>
      <c r="K87" s="288"/>
      <c r="L87" s="288"/>
      <c r="M87" s="288"/>
      <c r="N87" s="288"/>
      <c r="O87" s="283"/>
      <c r="P87" s="283"/>
      <c r="Q87" s="283">
        <f>C87</f>
        <v>0</v>
      </c>
      <c r="R87" s="283">
        <f>SUM(F87:Q87)</f>
        <v>0</v>
      </c>
      <c r="S87" s="393"/>
      <c r="T87" s="430"/>
    </row>
    <row r="88" spans="1:20">
      <c r="A88" s="421" t="s">
        <v>616</v>
      </c>
      <c r="B88" s="422"/>
      <c r="C88" s="422"/>
      <c r="D88" s="423"/>
      <c r="E88" s="414"/>
      <c r="F88" s="390"/>
      <c r="G88" s="391"/>
      <c r="H88" s="391"/>
      <c r="I88" s="391"/>
      <c r="J88" s="391"/>
      <c r="K88" s="391"/>
      <c r="L88" s="391"/>
      <c r="M88" s="391"/>
      <c r="N88" s="391"/>
      <c r="O88" s="392"/>
      <c r="P88" s="392"/>
      <c r="Q88" s="392"/>
      <c r="R88" s="392"/>
      <c r="S88" s="392"/>
      <c r="T88" s="430"/>
    </row>
    <row r="89" spans="1:20" ht="33" customHeight="1">
      <c r="A89" s="344" t="str">
        <f>'INNOVACION Y PRODUCTIVIDAD '!B16</f>
        <v>Plan de infraestructura física en camino a procesos de eficiencia energética en el Campus.</v>
      </c>
      <c r="B89" s="217" t="str">
        <f>'INNOVACION Y PRODUCTIVIDAD '!D16</f>
        <v>ALTA
(94%)</v>
      </c>
      <c r="C89" s="224">
        <f>'INNOVACION Y PRODUCTIVIDAD '!AA16</f>
        <v>205040306.83136001</v>
      </c>
      <c r="D89" s="416">
        <f>SUM(C89:C92)</f>
        <v>6286727057.1212807</v>
      </c>
      <c r="E89" s="414"/>
      <c r="F89" s="233"/>
      <c r="G89" s="288"/>
      <c r="H89" s="288"/>
      <c r="I89" s="288"/>
      <c r="J89" s="288"/>
      <c r="K89" s="288"/>
      <c r="L89" s="288">
        <f>C89</f>
        <v>205040306.83136001</v>
      </c>
      <c r="M89" s="288"/>
      <c r="N89" s="288"/>
      <c r="O89" s="283"/>
      <c r="P89" s="283"/>
      <c r="Q89" s="283"/>
      <c r="R89" s="283">
        <f>SUM(F89:Q89)</f>
        <v>205040306.83136001</v>
      </c>
      <c r="S89" s="393">
        <f>SUM(R89:R92)</f>
        <v>6286727057.1212807</v>
      </c>
      <c r="T89" s="430"/>
    </row>
    <row r="90" spans="1:20" ht="33" customHeight="1">
      <c r="A90" s="341" t="str">
        <f>'INNOVACION Y PRODUCTIVIDAD '!B18</f>
        <v>Modernización de la infraestructura física y tecnológica al servicio de la academia y la investigación.</v>
      </c>
      <c r="B90" s="307" t="str">
        <f>'INNOVACION Y PRODUCTIVIDAD '!D18</f>
        <v>ALTA
(86%)</v>
      </c>
      <c r="C90" s="224">
        <f>'INNOVACION Y PRODUCTIVIDAD '!AA18</f>
        <v>2922368957.9315205</v>
      </c>
      <c r="D90" s="417"/>
      <c r="E90" s="414"/>
      <c r="F90" s="233"/>
      <c r="G90" s="288"/>
      <c r="H90" s="288"/>
      <c r="I90" s="288"/>
      <c r="J90" s="288"/>
      <c r="K90" s="288"/>
      <c r="L90" s="288">
        <f>C90</f>
        <v>2922368957.9315205</v>
      </c>
      <c r="M90" s="288"/>
      <c r="N90" s="288"/>
      <c r="O90" s="283"/>
      <c r="P90" s="283"/>
      <c r="Q90" s="283"/>
      <c r="R90" s="283">
        <f>SUM(F90:Q90)</f>
        <v>2922368957.9315205</v>
      </c>
      <c r="S90" s="393"/>
      <c r="T90" s="430"/>
    </row>
    <row r="91" spans="1:20" ht="33" customHeight="1">
      <c r="A91" s="341" t="str">
        <f>'INNOVACION Y PRODUCTIVIDAD '!B19</f>
        <v>Dotar espacios académicos e investigativos con infraestructura física y tecnológica, moderna y flexible, que se adapte a las necesidades de la comunidad y la diversidad de la misma.</v>
      </c>
      <c r="B91" s="307" t="str">
        <f>'INNOVACION Y PRODUCTIVIDAD '!D19</f>
        <v>ALTA
(100%)</v>
      </c>
      <c r="C91" s="224">
        <f>'INNOVACION Y PRODUCTIVIDAD '!AA19</f>
        <v>3159317792.3584003</v>
      </c>
      <c r="D91" s="417"/>
      <c r="E91" s="414"/>
      <c r="F91" s="233"/>
      <c r="G91" s="288"/>
      <c r="H91" s="288"/>
      <c r="I91" s="288"/>
      <c r="J91" s="288"/>
      <c r="K91" s="288"/>
      <c r="L91" s="288">
        <f>C91</f>
        <v>3159317792.3584003</v>
      </c>
      <c r="M91" s="288"/>
      <c r="N91" s="288"/>
      <c r="O91" s="283"/>
      <c r="P91" s="283"/>
      <c r="Q91" s="283"/>
      <c r="R91" s="283">
        <f>SUM(F91:Q91)</f>
        <v>3159317792.3584003</v>
      </c>
      <c r="S91" s="393"/>
      <c r="T91" s="430"/>
    </row>
    <row r="92" spans="1:20" ht="33" customHeight="1">
      <c r="A92" s="344" t="str">
        <f>'INNOVACION Y PRODUCTIVIDAD '!B20</f>
        <v>Apropiación social de la ciencia, la tecnología y la innovación en los procesos institucionales.</v>
      </c>
      <c r="B92" s="217" t="str">
        <f>'INNOVACION Y PRODUCTIVIDAD '!D20</f>
        <v>MEDIA
(77%)</v>
      </c>
      <c r="C92" s="224">
        <f>'INNOVACION Y PRODUCTIVIDAD '!AA20</f>
        <v>0</v>
      </c>
      <c r="D92" s="399"/>
      <c r="E92" s="414"/>
      <c r="F92" s="233"/>
      <c r="G92" s="288"/>
      <c r="H92" s="288"/>
      <c r="I92" s="288"/>
      <c r="J92" s="288"/>
      <c r="K92" s="288"/>
      <c r="L92" s="288"/>
      <c r="M92" s="288"/>
      <c r="N92" s="288"/>
      <c r="O92" s="283"/>
      <c r="P92" s="283"/>
      <c r="Q92" s="283">
        <f>C92</f>
        <v>0</v>
      </c>
      <c r="R92" s="283">
        <f>SUM(F92:Q92)</f>
        <v>0</v>
      </c>
      <c r="S92" s="393"/>
      <c r="T92" s="430"/>
    </row>
    <row r="93" spans="1:20">
      <c r="A93" s="421" t="s">
        <v>617</v>
      </c>
      <c r="B93" s="422"/>
      <c r="C93" s="422"/>
      <c r="D93" s="423"/>
      <c r="E93" s="414"/>
      <c r="F93" s="390"/>
      <c r="G93" s="391"/>
      <c r="H93" s="391"/>
      <c r="I93" s="391"/>
      <c r="J93" s="391"/>
      <c r="K93" s="391"/>
      <c r="L93" s="391"/>
      <c r="M93" s="391"/>
      <c r="N93" s="391"/>
      <c r="O93" s="392"/>
      <c r="P93" s="392"/>
      <c r="Q93" s="392"/>
      <c r="R93" s="392"/>
      <c r="S93" s="392"/>
      <c r="T93" s="430"/>
    </row>
    <row r="94" spans="1:20" ht="33.75" customHeight="1">
      <c r="A94" s="344" t="str">
        <f>'INNOVACION Y PRODUCTIVIDAD '!B21</f>
        <v>Implementar un portafolio de proyectos de innovación y creación de nuevos productos/servicios.</v>
      </c>
      <c r="B94" s="217" t="str">
        <f>'INNOVACION Y PRODUCTIVIDAD '!D21</f>
        <v>MEDIA
(62%)</v>
      </c>
      <c r="C94" s="224">
        <f>'INNOVACION Y PRODUCTIVIDAD '!AA21</f>
        <v>0</v>
      </c>
      <c r="D94" s="416">
        <f>SUM(C94:C96)</f>
        <v>236948834.42688</v>
      </c>
      <c r="E94" s="414"/>
      <c r="F94" s="233"/>
      <c r="G94" s="288"/>
      <c r="H94" s="288"/>
      <c r="I94" s="288"/>
      <c r="J94" s="288"/>
      <c r="K94" s="288"/>
      <c r="L94" s="288"/>
      <c r="M94" s="288"/>
      <c r="N94" s="288"/>
      <c r="O94" s="283"/>
      <c r="P94" s="283"/>
      <c r="Q94" s="283">
        <f>C94</f>
        <v>0</v>
      </c>
      <c r="R94" s="283">
        <f>SUM(F94:Q94)</f>
        <v>0</v>
      </c>
      <c r="S94" s="393">
        <f>SUM(R94:R96)</f>
        <v>236948834.42688</v>
      </c>
      <c r="T94" s="430"/>
    </row>
    <row r="95" spans="1:20" ht="33.75" customHeight="1">
      <c r="A95" s="344" t="str">
        <f>'INNOVACION Y PRODUCTIVIDAD '!B22</f>
        <v>Fomentar innovaciones sociales, tecnológicas, organizacionales en investigación y desarrollo.</v>
      </c>
      <c r="B95" s="217" t="str">
        <f>'INNOVACION Y PRODUCTIVIDAD '!D22</f>
        <v>MEDIA
(79%)</v>
      </c>
      <c r="C95" s="224">
        <f>'INNOVACION Y PRODUCTIVIDAD '!AA22</f>
        <v>236948834.42688</v>
      </c>
      <c r="D95" s="417"/>
      <c r="E95" s="414"/>
      <c r="F95" s="233"/>
      <c r="G95" s="288"/>
      <c r="H95" s="288">
        <f>C95</f>
        <v>236948834.42688</v>
      </c>
      <c r="I95" s="288"/>
      <c r="J95" s="288"/>
      <c r="K95" s="288"/>
      <c r="L95" s="288"/>
      <c r="M95" s="288"/>
      <c r="N95" s="288"/>
      <c r="O95" s="283"/>
      <c r="P95" s="283"/>
      <c r="Q95" s="283"/>
      <c r="R95" s="283">
        <f>SUM(F95:Q95)</f>
        <v>236948834.42688</v>
      </c>
      <c r="S95" s="393"/>
      <c r="T95" s="430"/>
    </row>
    <row r="96" spans="1:20" ht="33.75" customHeight="1">
      <c r="A96" s="344" t="str">
        <f>'INNOVACION Y PRODUCTIVIDAD '!B23</f>
        <v xml:space="preserve">Puesta en marcha del Centro de Innovación y Productividad de las UTS (CIP-UTS) articulado con los sistemas nacionales y regionales de innovación. </v>
      </c>
      <c r="B96" s="217" t="str">
        <f>'INNOVACION Y PRODUCTIVIDAD '!D23</f>
        <v>ALTA
(85%)</v>
      </c>
      <c r="C96" s="224">
        <f>'INNOVACION Y PRODUCTIVIDAD '!AA23</f>
        <v>0</v>
      </c>
      <c r="D96" s="399"/>
      <c r="E96" s="415"/>
      <c r="F96" s="233"/>
      <c r="G96" s="288"/>
      <c r="H96" s="288"/>
      <c r="I96" s="288"/>
      <c r="J96" s="288"/>
      <c r="K96" s="288"/>
      <c r="L96" s="288"/>
      <c r="M96" s="288"/>
      <c r="N96" s="288"/>
      <c r="O96" s="283"/>
      <c r="P96" s="283"/>
      <c r="Q96" s="283">
        <f>C96</f>
        <v>0</v>
      </c>
      <c r="R96" s="283">
        <f>SUM(F96:Q96)</f>
        <v>0</v>
      </c>
      <c r="S96" s="393"/>
      <c r="T96" s="431"/>
    </row>
    <row r="97" spans="1:20" ht="21" customHeight="1">
      <c r="A97" s="403" t="s">
        <v>585</v>
      </c>
      <c r="B97" s="403"/>
      <c r="C97" s="403"/>
      <c r="D97" s="403"/>
      <c r="E97" s="404"/>
      <c r="F97" s="291">
        <f>F99+F100+F101</f>
        <v>0</v>
      </c>
      <c r="G97" s="292">
        <f t="shared" ref="G97:Q97" si="5">G99+G100+G101</f>
        <v>0</v>
      </c>
      <c r="H97" s="292">
        <f t="shared" si="5"/>
        <v>0</v>
      </c>
      <c r="I97" s="292">
        <f t="shared" si="5"/>
        <v>256694570.62911999</v>
      </c>
      <c r="J97" s="292">
        <f t="shared" si="5"/>
        <v>0</v>
      </c>
      <c r="K97" s="292">
        <f t="shared" si="5"/>
        <v>256694570.62911999</v>
      </c>
      <c r="L97" s="292">
        <f t="shared" si="5"/>
        <v>0</v>
      </c>
      <c r="M97" s="292">
        <f t="shared" si="5"/>
        <v>0</v>
      </c>
      <c r="N97" s="292">
        <f t="shared" si="5"/>
        <v>0</v>
      </c>
      <c r="O97" s="292">
        <f t="shared" si="5"/>
        <v>0</v>
      </c>
      <c r="P97" s="292">
        <f t="shared" si="5"/>
        <v>0</v>
      </c>
      <c r="Q97" s="292">
        <f t="shared" si="5"/>
        <v>0</v>
      </c>
      <c r="R97" s="245"/>
      <c r="S97" s="245"/>
      <c r="T97" s="247"/>
    </row>
    <row r="98" spans="1:20">
      <c r="A98" s="421" t="s">
        <v>618</v>
      </c>
      <c r="B98" s="422"/>
      <c r="C98" s="422"/>
      <c r="D98" s="423"/>
      <c r="E98" s="418">
        <f>D99</f>
        <v>513389141.25823998</v>
      </c>
      <c r="F98" s="390"/>
      <c r="G98" s="391"/>
      <c r="H98" s="391"/>
      <c r="I98" s="391"/>
      <c r="J98" s="391"/>
      <c r="K98" s="391"/>
      <c r="L98" s="391"/>
      <c r="M98" s="391"/>
      <c r="N98" s="391"/>
      <c r="O98" s="392"/>
      <c r="P98" s="392"/>
      <c r="Q98" s="392"/>
      <c r="R98" s="392"/>
      <c r="S98" s="392"/>
      <c r="T98" s="429">
        <f>S99</f>
        <v>513389141.25823998</v>
      </c>
    </row>
    <row r="99" spans="1:20" ht="33" customHeight="1">
      <c r="A99" s="344" t="str">
        <f>'EMPRENDIMIENTO, CREATIVIDAD '!B5</f>
        <v>Cultura y pensamiento.</v>
      </c>
      <c r="B99" s="213" t="str">
        <f>'EMPRENDIMIENTO, CREATIVIDAD '!D5</f>
        <v>ALTA
(92%)</v>
      </c>
      <c r="C99" s="224">
        <f>'EMPRENDIMIENTO, CREATIVIDAD '!AA5</f>
        <v>157965889.61791998</v>
      </c>
      <c r="D99" s="416">
        <f>SUM(C99:C101)</f>
        <v>513389141.25823998</v>
      </c>
      <c r="E99" s="419"/>
      <c r="F99" s="233"/>
      <c r="G99" s="288"/>
      <c r="H99" s="288"/>
      <c r="I99" s="288">
        <f>C99/2</f>
        <v>78982944.808959991</v>
      </c>
      <c r="J99" s="288"/>
      <c r="K99" s="288">
        <f>C99/2</f>
        <v>78982944.808959991</v>
      </c>
      <c r="L99" s="288"/>
      <c r="M99" s="288"/>
      <c r="N99" s="288"/>
      <c r="O99" s="283"/>
      <c r="P99" s="283"/>
      <c r="Q99" s="283"/>
      <c r="R99" s="283">
        <f>SUM(F99:Q99)</f>
        <v>157965889.61791998</v>
      </c>
      <c r="S99" s="393">
        <f>SUM(R99:R101)</f>
        <v>513389141.25823998</v>
      </c>
      <c r="T99" s="430"/>
    </row>
    <row r="100" spans="1:20" ht="33" customHeight="1">
      <c r="A100" s="344" t="str">
        <f>'EMPRENDIMIENTO, CREATIVIDAD '!B7</f>
        <v xml:space="preserve">Emprendimiento e innovación.  </v>
      </c>
      <c r="B100" s="213" t="str">
        <f>'EMPRENDIMIENTO, CREATIVIDAD '!D7</f>
        <v>ALTA
(92%)</v>
      </c>
      <c r="C100" s="224">
        <f>'EMPRENDIMIENTO, CREATIVIDAD '!AA7</f>
        <v>0</v>
      </c>
      <c r="D100" s="417"/>
      <c r="E100" s="419"/>
      <c r="F100" s="233"/>
      <c r="G100" s="288"/>
      <c r="H100" s="288"/>
      <c r="I100" s="288"/>
      <c r="J100" s="288"/>
      <c r="K100" s="288"/>
      <c r="L100" s="288"/>
      <c r="M100" s="288"/>
      <c r="N100" s="288"/>
      <c r="O100" s="283"/>
      <c r="P100" s="283"/>
      <c r="Q100" s="283">
        <f>C100</f>
        <v>0</v>
      </c>
      <c r="R100" s="283">
        <f>SUM(F100:Q100)</f>
        <v>0</v>
      </c>
      <c r="S100" s="393"/>
      <c r="T100" s="430"/>
    </row>
    <row r="101" spans="1:20" ht="33" customHeight="1">
      <c r="A101" s="344" t="str">
        <f>'EMPRENDIMIENTO, CREATIVIDAD '!B9</f>
        <v>Fortalecimiento empresarial.</v>
      </c>
      <c r="B101" s="213" t="str">
        <f>'EMPRENDIMIENTO, CREATIVIDAD '!D9</f>
        <v>ALTA
(92%)</v>
      </c>
      <c r="C101" s="224">
        <f>'EMPRENDIMIENTO, CREATIVIDAD '!AA9</f>
        <v>355423251.64032</v>
      </c>
      <c r="D101" s="399"/>
      <c r="E101" s="420"/>
      <c r="F101" s="233"/>
      <c r="G101" s="288"/>
      <c r="H101" s="288"/>
      <c r="I101" s="288">
        <f>C101/2</f>
        <v>177711625.82016</v>
      </c>
      <c r="J101" s="288"/>
      <c r="K101" s="288">
        <f>C101/2</f>
        <v>177711625.82016</v>
      </c>
      <c r="L101" s="288"/>
      <c r="M101" s="288"/>
      <c r="N101" s="288"/>
      <c r="O101" s="283"/>
      <c r="P101" s="283"/>
      <c r="Q101" s="283"/>
      <c r="R101" s="283">
        <f>SUM(F101:Q101)</f>
        <v>355423251.64032</v>
      </c>
      <c r="S101" s="393"/>
      <c r="T101" s="431"/>
    </row>
    <row r="102" spans="1:20" ht="22.5" customHeight="1">
      <c r="A102" s="406" t="s">
        <v>586</v>
      </c>
      <c r="B102" s="406"/>
      <c r="C102" s="406"/>
      <c r="D102" s="406"/>
      <c r="E102" s="407"/>
      <c r="F102" s="432"/>
      <c r="G102" s="433"/>
      <c r="H102" s="433"/>
      <c r="I102" s="433"/>
      <c r="J102" s="433"/>
      <c r="K102" s="433"/>
      <c r="L102" s="433"/>
      <c r="M102" s="433"/>
      <c r="N102" s="433"/>
      <c r="O102" s="433"/>
      <c r="P102" s="433"/>
      <c r="Q102" s="433"/>
      <c r="R102" s="433"/>
      <c r="S102" s="433"/>
      <c r="T102" s="434"/>
    </row>
    <row r="103" spans="1:20" ht="21" customHeight="1">
      <c r="A103" s="403" t="s">
        <v>587</v>
      </c>
      <c r="B103" s="403"/>
      <c r="C103" s="403"/>
      <c r="D103" s="403"/>
      <c r="E103" s="404"/>
      <c r="F103" s="291">
        <f>F105+F107+F108+F110+F111+F112</f>
        <v>222474417.21344</v>
      </c>
      <c r="G103" s="292">
        <f t="shared" ref="G103:Q103" si="6">G105+G107+G108+G110+G111+G112</f>
        <v>0</v>
      </c>
      <c r="H103" s="292">
        <f t="shared" si="6"/>
        <v>0</v>
      </c>
      <c r="I103" s="292">
        <f t="shared" si="6"/>
        <v>0</v>
      </c>
      <c r="J103" s="292">
        <f t="shared" si="6"/>
        <v>0</v>
      </c>
      <c r="K103" s="292">
        <f t="shared" si="6"/>
        <v>19542837014.421505</v>
      </c>
      <c r="L103" s="292">
        <f t="shared" si="6"/>
        <v>0</v>
      </c>
      <c r="M103" s="292">
        <f t="shared" si="6"/>
        <v>0</v>
      </c>
      <c r="N103" s="292">
        <f t="shared" si="6"/>
        <v>0</v>
      </c>
      <c r="O103" s="292">
        <f t="shared" si="6"/>
        <v>0</v>
      </c>
      <c r="P103" s="292">
        <f t="shared" si="6"/>
        <v>118474417.21343999</v>
      </c>
      <c r="Q103" s="292">
        <f t="shared" si="6"/>
        <v>0</v>
      </c>
      <c r="R103" s="284"/>
      <c r="S103" s="284"/>
      <c r="T103" s="247"/>
    </row>
    <row r="104" spans="1:20">
      <c r="A104" s="421" t="s">
        <v>619</v>
      </c>
      <c r="B104" s="422"/>
      <c r="C104" s="422"/>
      <c r="D104" s="423"/>
      <c r="E104" s="413">
        <f>D105+D107+D110</f>
        <v>19883785848.848385</v>
      </c>
      <c r="F104" s="390"/>
      <c r="G104" s="391"/>
      <c r="H104" s="391"/>
      <c r="I104" s="391"/>
      <c r="J104" s="391"/>
      <c r="K104" s="391"/>
      <c r="L104" s="391"/>
      <c r="M104" s="391"/>
      <c r="N104" s="391"/>
      <c r="O104" s="392"/>
      <c r="P104" s="392"/>
      <c r="Q104" s="392"/>
      <c r="R104" s="392"/>
      <c r="S104" s="392"/>
      <c r="T104" s="429">
        <f>S105+S107+S110</f>
        <v>19883785848.848385</v>
      </c>
    </row>
    <row r="105" spans="1:20" ht="47.25" customHeight="1">
      <c r="A105" s="341" t="str">
        <f>INTERNACIONALIZACION!B5</f>
        <v>Implementar mecanismos de cooperación nacional e internacional, que amplíen las oportunidades de realizar estudios posgraduales, faciliten el intercambio de conocimientos y recursos y posibiliten la movilidad de la comunidad Uteísta.</v>
      </c>
      <c r="B105" s="214" t="str">
        <f>INTERNACIONALIZACION!D5</f>
        <v>MEDIA
(77%)</v>
      </c>
      <c r="C105" s="141">
        <f>INTERNACIONALIZACION!AA5</f>
        <v>0</v>
      </c>
      <c r="D105" s="141">
        <f>C105</f>
        <v>0</v>
      </c>
      <c r="E105" s="414"/>
      <c r="F105" s="233"/>
      <c r="G105" s="288"/>
      <c r="H105" s="288"/>
      <c r="I105" s="288"/>
      <c r="J105" s="288"/>
      <c r="K105" s="288"/>
      <c r="L105" s="288"/>
      <c r="M105" s="288"/>
      <c r="N105" s="288"/>
      <c r="O105" s="283"/>
      <c r="P105" s="283"/>
      <c r="Q105" s="283">
        <f>C105</f>
        <v>0</v>
      </c>
      <c r="R105" s="283">
        <f>SUM(F105:Q105)</f>
        <v>0</v>
      </c>
      <c r="S105" s="283">
        <f>R105</f>
        <v>0</v>
      </c>
      <c r="T105" s="430"/>
    </row>
    <row r="106" spans="1:20">
      <c r="A106" s="421" t="s">
        <v>620</v>
      </c>
      <c r="B106" s="422"/>
      <c r="C106" s="422"/>
      <c r="D106" s="423"/>
      <c r="E106" s="414"/>
      <c r="F106" s="390"/>
      <c r="G106" s="391"/>
      <c r="H106" s="391"/>
      <c r="I106" s="391"/>
      <c r="J106" s="391"/>
      <c r="K106" s="391"/>
      <c r="L106" s="391"/>
      <c r="M106" s="391"/>
      <c r="N106" s="391"/>
      <c r="O106" s="392"/>
      <c r="P106" s="392"/>
      <c r="Q106" s="392"/>
      <c r="R106" s="392"/>
      <c r="S106" s="392"/>
      <c r="T106" s="430"/>
    </row>
    <row r="107" spans="1:20" ht="34.5" customHeight="1">
      <c r="A107" s="341" t="str">
        <f>INTERNACIONALIZACION!B10</f>
        <v>Implementar estrategias y mecanismos que faciliten el desarrollo de habilidades comunicativas y sociales en diversas lenguas y culturas para facilitar el intercambio nacional e internacional.</v>
      </c>
      <c r="B107" s="218" t="str">
        <f>INTERNACIONALIZACION!D10</f>
        <v>ALTA
(90%)</v>
      </c>
      <c r="C107" s="224">
        <f>INTERNACIONALIZACION!AA10</f>
        <v>236948834.42687997</v>
      </c>
      <c r="D107" s="416">
        <f>SUM(C107:C108)</f>
        <v>236948834.42687997</v>
      </c>
      <c r="E107" s="414"/>
      <c r="F107" s="233">
        <f>C107/2</f>
        <v>118474417.21343999</v>
      </c>
      <c r="G107" s="288"/>
      <c r="H107" s="288"/>
      <c r="I107" s="288"/>
      <c r="J107" s="288"/>
      <c r="K107" s="288"/>
      <c r="L107" s="288"/>
      <c r="M107" s="288"/>
      <c r="N107" s="288"/>
      <c r="O107" s="283"/>
      <c r="P107" s="283">
        <f>C107/2</f>
        <v>118474417.21343999</v>
      </c>
      <c r="Q107" s="283"/>
      <c r="R107" s="283">
        <f>SUM(F107:Q107)</f>
        <v>236948834.42687997</v>
      </c>
      <c r="S107" s="393">
        <f>SUM(R107:R108)</f>
        <v>236948834.42687997</v>
      </c>
      <c r="T107" s="430"/>
    </row>
    <row r="108" spans="1:20" ht="34.5" customHeight="1">
      <c r="A108" s="341" t="str">
        <f>INTERNACIONALIZACION!B21</f>
        <v>Promover estrategias de formación en el manejo de segunda lengua para la comunidad Uteísta.</v>
      </c>
      <c r="B108" s="218" t="str">
        <f>INTERNACIONALIZACION!D21</f>
        <v>ALTA
(85%)</v>
      </c>
      <c r="C108" s="224">
        <f>INTERNACIONALIZACION!AA21</f>
        <v>0</v>
      </c>
      <c r="D108" s="399"/>
      <c r="E108" s="414"/>
      <c r="F108" s="233"/>
      <c r="G108" s="288"/>
      <c r="H108" s="288"/>
      <c r="I108" s="288"/>
      <c r="J108" s="288"/>
      <c r="K108" s="288"/>
      <c r="L108" s="288"/>
      <c r="M108" s="288"/>
      <c r="N108" s="288"/>
      <c r="O108" s="283"/>
      <c r="P108" s="283"/>
      <c r="Q108" s="283">
        <f>C108</f>
        <v>0</v>
      </c>
      <c r="R108" s="283">
        <f>SUM(F108:Q108)</f>
        <v>0</v>
      </c>
      <c r="S108" s="393"/>
      <c r="T108" s="430"/>
    </row>
    <row r="109" spans="1:20">
      <c r="A109" s="421" t="s">
        <v>621</v>
      </c>
      <c r="B109" s="422"/>
      <c r="C109" s="422"/>
      <c r="D109" s="423"/>
      <c r="E109" s="414"/>
      <c r="F109" s="390"/>
      <c r="G109" s="391"/>
      <c r="H109" s="391"/>
      <c r="I109" s="391"/>
      <c r="J109" s="391"/>
      <c r="K109" s="391"/>
      <c r="L109" s="391"/>
      <c r="M109" s="391"/>
      <c r="N109" s="391"/>
      <c r="O109" s="392"/>
      <c r="P109" s="392"/>
      <c r="Q109" s="392"/>
      <c r="R109" s="392"/>
      <c r="S109" s="392"/>
      <c r="T109" s="430"/>
    </row>
    <row r="110" spans="1:20" ht="34.5" customHeight="1">
      <c r="A110" s="341" t="str">
        <f>INTERNACIONALIZACION!B23</f>
        <v>Fortalecer a las UTS en movilidad e interacción con el entorno, nacional e internacional, en relación a la participación en eventos y actividades de carácter misional.</v>
      </c>
      <c r="B110" s="214" t="str">
        <f>INTERNACIONALIZACION!D23</f>
        <v>ALTA
(100%)</v>
      </c>
      <c r="C110" s="332">
        <f>INTERNACIONALIZACION!AA23</f>
        <v>19201888179.994625</v>
      </c>
      <c r="D110" s="416">
        <f>SUM(C110:C112)</f>
        <v>19646837014.421505</v>
      </c>
      <c r="E110" s="414"/>
      <c r="F110" s="233"/>
      <c r="G110" s="288"/>
      <c r="H110" s="331"/>
      <c r="I110" s="331"/>
      <c r="J110" s="331"/>
      <c r="K110" s="331">
        <f>C110</f>
        <v>19201888179.994625</v>
      </c>
      <c r="L110" s="288"/>
      <c r="M110" s="288"/>
      <c r="N110" s="288"/>
      <c r="O110" s="283"/>
      <c r="P110" s="283"/>
      <c r="Q110" s="283"/>
      <c r="R110" s="283">
        <f>SUM(F110:Q110)</f>
        <v>19201888179.994625</v>
      </c>
      <c r="S110" s="393">
        <f>SUM(R110:R112)</f>
        <v>19646837014.421505</v>
      </c>
      <c r="T110" s="430"/>
    </row>
    <row r="111" spans="1:20" ht="34.5" customHeight="1">
      <c r="A111" s="341" t="str">
        <f>INTERNACIONALIZACION!B26</f>
        <v>Crear e implementar un sistema de gestión de la movilidad institucional con el fin de  realizar seguimiento y control a los indicadores de los programas académicos, investigativos y de extensión.</v>
      </c>
      <c r="B111" s="214" t="str">
        <f>INTERNACIONALIZACION!D26</f>
        <v>ALTA
(100%)</v>
      </c>
      <c r="C111" s="224">
        <f>INTERNACIONALIZACION!AA26</f>
        <v>208000000</v>
      </c>
      <c r="D111" s="417"/>
      <c r="E111" s="414"/>
      <c r="F111" s="233">
        <f>C111/2</f>
        <v>104000000</v>
      </c>
      <c r="G111" s="288"/>
      <c r="H111" s="288"/>
      <c r="I111" s="288"/>
      <c r="J111" s="288"/>
      <c r="K111" s="288">
        <f>C111/2</f>
        <v>104000000</v>
      </c>
      <c r="L111" s="288"/>
      <c r="M111" s="288"/>
      <c r="N111" s="288"/>
      <c r="O111" s="283"/>
      <c r="P111" s="283"/>
      <c r="Q111" s="283"/>
      <c r="R111" s="283">
        <f>SUM(F111:Q111)</f>
        <v>208000000</v>
      </c>
      <c r="S111" s="393"/>
      <c r="T111" s="430"/>
    </row>
    <row r="112" spans="1:20" ht="47.25" customHeight="1">
      <c r="A112" s="344" t="str">
        <f>INTERNACIONALIZACION!B28</f>
        <v>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v>
      </c>
      <c r="B112" s="213" t="str">
        <f>INTERNACIONALIZACION!D28</f>
        <v>ALTA
(100%)</v>
      </c>
      <c r="C112" s="224">
        <f>INTERNACIONALIZACION!AA28</f>
        <v>236948834.42688</v>
      </c>
      <c r="D112" s="399"/>
      <c r="E112" s="415"/>
      <c r="F112" s="233"/>
      <c r="G112" s="288"/>
      <c r="H112" s="288"/>
      <c r="I112" s="288"/>
      <c r="J112" s="288"/>
      <c r="K112" s="288">
        <f>C112</f>
        <v>236948834.42688</v>
      </c>
      <c r="L112" s="288"/>
      <c r="M112" s="288"/>
      <c r="N112" s="288"/>
      <c r="O112" s="283"/>
      <c r="P112" s="283"/>
      <c r="Q112" s="283"/>
      <c r="R112" s="283">
        <f>SUM(F112:Q112)</f>
        <v>236948834.42688</v>
      </c>
      <c r="S112" s="393"/>
      <c r="T112" s="431"/>
    </row>
    <row r="113" spans="1:20" ht="24.75" customHeight="1">
      <c r="A113" s="406" t="s">
        <v>622</v>
      </c>
      <c r="B113" s="406"/>
      <c r="C113" s="406"/>
      <c r="D113" s="406"/>
      <c r="E113" s="407"/>
      <c r="F113" s="432"/>
      <c r="G113" s="433"/>
      <c r="H113" s="433"/>
      <c r="I113" s="433"/>
      <c r="J113" s="433"/>
      <c r="K113" s="433"/>
      <c r="L113" s="433"/>
      <c r="M113" s="433"/>
      <c r="N113" s="433"/>
      <c r="O113" s="433"/>
      <c r="P113" s="433"/>
      <c r="Q113" s="433"/>
      <c r="R113" s="433"/>
      <c r="S113" s="433"/>
      <c r="T113" s="434"/>
    </row>
    <row r="114" spans="1:20" ht="21" customHeight="1">
      <c r="A114" s="403" t="s">
        <v>588</v>
      </c>
      <c r="B114" s="403"/>
      <c r="C114" s="403"/>
      <c r="D114" s="403"/>
      <c r="E114" s="404"/>
      <c r="F114" s="291">
        <f>F116+F117+F119+F120+F122+F123+F124+F126+F127+F129+F130+F131</f>
        <v>5923720860.6719999</v>
      </c>
      <c r="G114" s="292">
        <f t="shared" ref="G114:Q114" si="7">G116+G117+G119+G120+G122+G123+G124+G126+G127+G129+G130+G131</f>
        <v>0</v>
      </c>
      <c r="H114" s="292">
        <f t="shared" si="7"/>
        <v>0</v>
      </c>
      <c r="I114" s="292">
        <f t="shared" si="7"/>
        <v>0</v>
      </c>
      <c r="J114" s="292">
        <f t="shared" si="7"/>
        <v>8676276487.2642555</v>
      </c>
      <c r="K114" s="292">
        <f t="shared" si="7"/>
        <v>413897668.85376</v>
      </c>
      <c r="L114" s="292">
        <f t="shared" si="7"/>
        <v>0</v>
      </c>
      <c r="M114" s="292">
        <f t="shared" si="7"/>
        <v>0</v>
      </c>
      <c r="N114" s="292">
        <f t="shared" si="7"/>
        <v>0</v>
      </c>
      <c r="O114" s="292">
        <f t="shared" si="7"/>
        <v>1173981380.7411201</v>
      </c>
      <c r="P114" s="292">
        <f t="shared" si="7"/>
        <v>1579658896.1792002</v>
      </c>
      <c r="Q114" s="292">
        <f t="shared" si="7"/>
        <v>3949147240.448</v>
      </c>
      <c r="R114" s="284"/>
      <c r="S114" s="284"/>
      <c r="T114" s="295"/>
    </row>
    <row r="115" spans="1:20">
      <c r="A115" s="421" t="s">
        <v>623</v>
      </c>
      <c r="B115" s="422"/>
      <c r="C115" s="422"/>
      <c r="D115" s="423"/>
      <c r="E115" s="413">
        <f>D116+D119+D122+D126+D129</f>
        <v>21716682534.158333</v>
      </c>
      <c r="F115" s="390"/>
      <c r="G115" s="391"/>
      <c r="H115" s="391"/>
      <c r="I115" s="391"/>
      <c r="J115" s="391"/>
      <c r="K115" s="391"/>
      <c r="L115" s="391"/>
      <c r="M115" s="391"/>
      <c r="N115" s="391"/>
      <c r="O115" s="392"/>
      <c r="P115" s="392"/>
      <c r="Q115" s="392"/>
      <c r="R115" s="392"/>
      <c r="S115" s="392"/>
      <c r="T115" s="429">
        <f>S116+S119+S122+S126+S129</f>
        <v>21716682534.158333</v>
      </c>
    </row>
    <row r="116" spans="1:20" ht="33" customHeight="1">
      <c r="A116" s="344" t="str">
        <f>'COMUNIDAD Y CULTURA INSTITUCION'!B5</f>
        <v>Establecer estrategias con apoyo de otras dependencias dirigidas a estudiantes con dificultades económicas, con el fin de contribuir al mejoramiento de la calidad de vida.</v>
      </c>
      <c r="B116" s="217" t="str">
        <f>'COMUNIDAD Y CULTURA INSTITUCION'!D5</f>
        <v>ALTA
(88%)</v>
      </c>
      <c r="C116" s="224">
        <f>'COMUNIDAD Y CULTURA INSTITUCION'!AA5</f>
        <v>3949147240.448</v>
      </c>
      <c r="D116" s="416">
        <f>SUM(C116:C117)</f>
        <v>3996537007.3333759</v>
      </c>
      <c r="E116" s="414"/>
      <c r="F116" s="233"/>
      <c r="G116" s="288"/>
      <c r="H116" s="288"/>
      <c r="I116" s="288"/>
      <c r="J116" s="288"/>
      <c r="K116" s="288"/>
      <c r="L116" s="288"/>
      <c r="M116" s="288"/>
      <c r="N116" s="288"/>
      <c r="O116" s="283"/>
      <c r="P116" s="283"/>
      <c r="Q116" s="283">
        <f>C116</f>
        <v>3949147240.448</v>
      </c>
      <c r="R116" s="283">
        <f>SUM(F116:Q116)</f>
        <v>3949147240.448</v>
      </c>
      <c r="S116" s="393">
        <f>SUM(R116:R117)</f>
        <v>3996537007.3333759</v>
      </c>
      <c r="T116" s="430"/>
    </row>
    <row r="117" spans="1:20" ht="33" customHeight="1">
      <c r="A117" s="344" t="str">
        <f>'COMUNIDAD Y CULTURA INSTITUCION'!B6</f>
        <v>Fomentar la capacidad de relacionarse y comunicarse dentro de la comunidad Uteísta, y así mismo desarrollar el sentido de pertenencia y compromiso individual con la institución.</v>
      </c>
      <c r="B117" s="217" t="str">
        <f>'COMUNIDAD Y CULTURA INSTITUCION'!D6</f>
        <v>MEDIA
(63%)</v>
      </c>
      <c r="C117" s="224">
        <f>'COMUNIDAD Y CULTURA INSTITUCION'!AA6</f>
        <v>47389766.885376006</v>
      </c>
      <c r="D117" s="399"/>
      <c r="E117" s="414"/>
      <c r="F117" s="233"/>
      <c r="G117" s="288"/>
      <c r="H117" s="288"/>
      <c r="I117" s="288"/>
      <c r="J117" s="288">
        <f>C117</f>
        <v>47389766.885376006</v>
      </c>
      <c r="K117" s="288"/>
      <c r="L117" s="288"/>
      <c r="M117" s="288"/>
      <c r="N117" s="288"/>
      <c r="O117" s="283"/>
      <c r="P117" s="283"/>
      <c r="Q117" s="283"/>
      <c r="R117" s="283">
        <f>SUM(F117:Q117)</f>
        <v>47389766.885376006</v>
      </c>
      <c r="S117" s="393"/>
      <c r="T117" s="430"/>
    </row>
    <row r="118" spans="1:20">
      <c r="A118" s="421" t="s">
        <v>624</v>
      </c>
      <c r="B118" s="422"/>
      <c r="C118" s="422"/>
      <c r="D118" s="423"/>
      <c r="E118" s="414"/>
      <c r="F118" s="390"/>
      <c r="G118" s="391"/>
      <c r="H118" s="391"/>
      <c r="I118" s="391"/>
      <c r="J118" s="391"/>
      <c r="K118" s="391"/>
      <c r="L118" s="391"/>
      <c r="M118" s="391"/>
      <c r="N118" s="391"/>
      <c r="O118" s="392"/>
      <c r="P118" s="392"/>
      <c r="Q118" s="392"/>
      <c r="R118" s="392"/>
      <c r="S118" s="392"/>
      <c r="T118" s="430"/>
    </row>
    <row r="119" spans="1:20" ht="36" customHeight="1">
      <c r="A119" s="344" t="str">
        <f>'COMUNIDAD Y CULTURA INSTITUCION'!B7</f>
        <v>Promover espacios de creación, intercambio, estimulación, sensibilización y apreciación de las diversas manifestaciones en arte y cultura entre la comunidad Uteísta.</v>
      </c>
      <c r="B119" s="217" t="str">
        <f>'COMUNIDAD Y CULTURA INSTITUCION'!D7</f>
        <v>ALTA
(100%)</v>
      </c>
      <c r="C119" s="224">
        <f>'COMUNIDAD Y CULTURA INSTITUCION'!AA7</f>
        <v>236948834.42688</v>
      </c>
      <c r="D119" s="416">
        <f>SUM(C119:C120)</f>
        <v>355423251.64032</v>
      </c>
      <c r="E119" s="414"/>
      <c r="F119" s="233"/>
      <c r="G119" s="288"/>
      <c r="H119" s="288"/>
      <c r="I119" s="288"/>
      <c r="J119" s="288">
        <f>C119</f>
        <v>236948834.42688</v>
      </c>
      <c r="K119" s="288"/>
      <c r="L119" s="288"/>
      <c r="M119" s="288"/>
      <c r="N119" s="288"/>
      <c r="O119" s="283"/>
      <c r="P119" s="283"/>
      <c r="Q119" s="283"/>
      <c r="R119" s="283">
        <f>SUM(F119:Q119)</f>
        <v>236948834.42688</v>
      </c>
      <c r="S119" s="393">
        <f>SUM(R119:R120)</f>
        <v>355423251.64032</v>
      </c>
      <c r="T119" s="430"/>
    </row>
    <row r="120" spans="1:20" ht="36" customHeight="1">
      <c r="A120" s="344" t="str">
        <f>'COMUNIDAD Y CULTURA INSTITUCION'!B8</f>
        <v>Desarrollar actividades libres que muestren las aptitudes artísticas y culturales de la comunidad institucional fomentando la construcción de la paz.</v>
      </c>
      <c r="B120" s="217" t="str">
        <f>'COMUNIDAD Y CULTURA INSTITUCION'!D8</f>
        <v>ALTA
(90%)</v>
      </c>
      <c r="C120" s="224">
        <f>'COMUNIDAD Y CULTURA INSTITUCION'!AA8</f>
        <v>118474417.21344</v>
      </c>
      <c r="D120" s="399"/>
      <c r="E120" s="414"/>
      <c r="F120" s="233"/>
      <c r="G120" s="288"/>
      <c r="H120" s="288"/>
      <c r="I120" s="288"/>
      <c r="J120" s="288">
        <f>C120</f>
        <v>118474417.21344</v>
      </c>
      <c r="K120" s="288"/>
      <c r="L120" s="288"/>
      <c r="M120" s="288"/>
      <c r="N120" s="288"/>
      <c r="O120" s="283"/>
      <c r="P120" s="283"/>
      <c r="Q120" s="283"/>
      <c r="R120" s="283">
        <f>SUM(F120:Q120)</f>
        <v>118474417.21344</v>
      </c>
      <c r="S120" s="393"/>
      <c r="T120" s="430"/>
    </row>
    <row r="121" spans="1:20">
      <c r="A121" s="421" t="s">
        <v>625</v>
      </c>
      <c r="B121" s="422"/>
      <c r="C121" s="422"/>
      <c r="D121" s="423"/>
      <c r="E121" s="414"/>
      <c r="F121" s="390"/>
      <c r="G121" s="391"/>
      <c r="H121" s="391"/>
      <c r="I121" s="391"/>
      <c r="J121" s="391"/>
      <c r="K121" s="391"/>
      <c r="L121" s="391"/>
      <c r="M121" s="391"/>
      <c r="N121" s="391"/>
      <c r="O121" s="392"/>
      <c r="P121" s="392"/>
      <c r="Q121" s="392"/>
      <c r="R121" s="392"/>
      <c r="S121" s="392"/>
      <c r="T121" s="430"/>
    </row>
    <row r="122" spans="1:20" ht="35.25" customHeight="1">
      <c r="A122" s="344" t="str">
        <f>'COMUNIDAD Y CULTURA INSTITUCION'!B9</f>
        <v xml:space="preserve">Desarrollar actividades de promoción de hábitos saludables y del fomento de la actividad física, el deporte y el adecuado uso del tiempo libre dirigido a los estudiantes, docentes y administrativos. </v>
      </c>
      <c r="B122" s="217" t="str">
        <f>'COMUNIDAD Y CULTURA INSTITUCION'!D9</f>
        <v>ALTA
(100%)</v>
      </c>
      <c r="C122" s="224">
        <f>'COMUNIDAD Y CULTURA INSTITUCION'!AA9</f>
        <v>1382201534.1568</v>
      </c>
      <c r="D122" s="416">
        <f>SUM(C122:C124)</f>
        <v>13229643255.500799</v>
      </c>
      <c r="E122" s="414"/>
      <c r="F122" s="233"/>
      <c r="G122" s="288"/>
      <c r="H122" s="288"/>
      <c r="I122" s="288"/>
      <c r="J122" s="288">
        <f>C122/2</f>
        <v>691100767.07840002</v>
      </c>
      <c r="K122" s="288"/>
      <c r="L122" s="288"/>
      <c r="M122" s="288"/>
      <c r="N122" s="288"/>
      <c r="O122" s="283">
        <f>C122/2</f>
        <v>691100767.07840002</v>
      </c>
      <c r="P122" s="283"/>
      <c r="Q122" s="283"/>
      <c r="R122" s="283">
        <f>SUM(F122:Q122)</f>
        <v>1382201534.1568</v>
      </c>
      <c r="S122" s="393">
        <f>SUM(R122:R124)</f>
        <v>13229643255.500799</v>
      </c>
      <c r="T122" s="430"/>
    </row>
    <row r="123" spans="1:20" ht="35.25" customHeight="1">
      <c r="A123" s="344" t="str">
        <f>'COMUNIDAD Y CULTURA INSTITUCION'!B11</f>
        <v>Crear espacios académicos y administrativos para garantizar la participación de la comunidad Uteísta en actividades de recreación y deporte.</v>
      </c>
      <c r="B123" s="217" t="str">
        <f>'COMUNIDAD Y CULTURA INSTITUCION'!D11</f>
        <v>ALTA
(85%)</v>
      </c>
      <c r="C123" s="224">
        <f>'COMUNIDAD Y CULTURA INSTITUCION'!AA11</f>
        <v>11847441721.344</v>
      </c>
      <c r="D123" s="417"/>
      <c r="E123" s="414"/>
      <c r="F123" s="233">
        <f>C123/2</f>
        <v>5923720860.6719999</v>
      </c>
      <c r="G123" s="288"/>
      <c r="H123" s="288"/>
      <c r="I123" s="288"/>
      <c r="J123" s="288">
        <f>C123/2</f>
        <v>5923720860.6719999</v>
      </c>
      <c r="K123" s="288"/>
      <c r="L123" s="288"/>
      <c r="M123" s="288"/>
      <c r="N123" s="288"/>
      <c r="O123" s="283"/>
      <c r="P123" s="283"/>
      <c r="Q123" s="283"/>
      <c r="R123" s="283">
        <f>SUM(F123:Q123)</f>
        <v>11847441721.344</v>
      </c>
      <c r="S123" s="393"/>
      <c r="T123" s="430"/>
    </row>
    <row r="124" spans="1:20" ht="35.25" customHeight="1">
      <c r="A124" s="344" t="str">
        <f>'COMUNIDAD Y CULTURA INSTITUCION'!B12</f>
        <v>Crear alianzas que faciliten el acceso a infraestructura y personal especializado para el desarrollo de acciones conjuntas de bienestar entre instituciones.</v>
      </c>
      <c r="B124" s="217" t="str">
        <f>'COMUNIDAD Y CULTURA INSTITUCION'!D12</f>
        <v>ALTA
(85%)</v>
      </c>
      <c r="C124" s="224">
        <f>'COMUNIDAD Y CULTURA INSTITUCION'!AA12</f>
        <v>0</v>
      </c>
      <c r="D124" s="399"/>
      <c r="E124" s="414"/>
      <c r="F124" s="233"/>
      <c r="G124" s="288"/>
      <c r="H124" s="288"/>
      <c r="I124" s="288"/>
      <c r="J124" s="288"/>
      <c r="K124" s="288"/>
      <c r="L124" s="288"/>
      <c r="M124" s="288"/>
      <c r="N124" s="288"/>
      <c r="O124" s="283"/>
      <c r="P124" s="283"/>
      <c r="Q124" s="283">
        <f>C124</f>
        <v>0</v>
      </c>
      <c r="R124" s="283">
        <f>SUM(F124:Q124)</f>
        <v>0</v>
      </c>
      <c r="S124" s="393"/>
      <c r="T124" s="430"/>
    </row>
    <row r="125" spans="1:20">
      <c r="A125" s="421" t="s">
        <v>626</v>
      </c>
      <c r="B125" s="422"/>
      <c r="C125" s="422"/>
      <c r="D125" s="423"/>
      <c r="E125" s="414"/>
      <c r="F125" s="390"/>
      <c r="G125" s="391"/>
      <c r="H125" s="391"/>
      <c r="I125" s="391"/>
      <c r="J125" s="391"/>
      <c r="K125" s="391"/>
      <c r="L125" s="391"/>
      <c r="M125" s="391"/>
      <c r="N125" s="391"/>
      <c r="O125" s="392"/>
      <c r="P125" s="392"/>
      <c r="Q125" s="392"/>
      <c r="R125" s="392"/>
      <c r="S125" s="392"/>
      <c r="T125" s="430"/>
    </row>
    <row r="126" spans="1:20" ht="37.5" customHeight="1">
      <c r="A126" s="344" t="str">
        <f>'COMUNIDAD Y CULTURA INSTITUCION'!B13</f>
        <v>Fortalecer el desarrollo de actividades de prevención de la enfermedad y de la promoción de los estilos de vida saludables y del autocuidado para estudiantes, docentes y personal administrativo.</v>
      </c>
      <c r="B126" s="213" t="str">
        <f>'COMUNIDAD Y CULTURA INSTITUCION'!D13</f>
        <v>ALTA
(100%)</v>
      </c>
      <c r="C126" s="224">
        <f>'COMUNIDAD Y CULTURA INSTITUCION'!AA13</f>
        <v>3159317792.3584003</v>
      </c>
      <c r="D126" s="416">
        <f>SUM(C126:C127)</f>
        <v>3238300737.1673603</v>
      </c>
      <c r="E126" s="414"/>
      <c r="F126" s="233"/>
      <c r="G126" s="288"/>
      <c r="H126" s="288"/>
      <c r="I126" s="288"/>
      <c r="J126" s="288">
        <f>C126/2</f>
        <v>1579658896.1792002</v>
      </c>
      <c r="K126" s="288"/>
      <c r="L126" s="288"/>
      <c r="M126" s="288"/>
      <c r="N126" s="288"/>
      <c r="O126" s="283"/>
      <c r="P126" s="327">
        <f>C126/2</f>
        <v>1579658896.1792002</v>
      </c>
      <c r="Q126" s="283"/>
      <c r="R126" s="283">
        <f>SUM(F126:Q126)</f>
        <v>3159317792.3584003</v>
      </c>
      <c r="S126" s="393">
        <f>SUM(R126:R127)</f>
        <v>3238300737.1673603</v>
      </c>
      <c r="T126" s="430"/>
    </row>
    <row r="127" spans="1:20" ht="37.5" customHeight="1">
      <c r="A127" s="341" t="str">
        <f>'COMUNIDAD Y CULTURA INSTITUCION'!B14</f>
        <v>Desarrollar actividades de promoción en salud y prevención de la enfermedad que contribuyan al mejoramiento de la calidad de vida y a la formación integral de la comunidad uteísta.</v>
      </c>
      <c r="B127" s="214" t="str">
        <f>'COMUNIDAD Y CULTURA INSTITUCION'!D14</f>
        <v>ALTA
(100%)</v>
      </c>
      <c r="C127" s="224">
        <f>'COMUNIDAD Y CULTURA INSTITUCION'!AA14</f>
        <v>78982944.808959991</v>
      </c>
      <c r="D127" s="399"/>
      <c r="E127" s="414"/>
      <c r="F127" s="233"/>
      <c r="G127" s="288"/>
      <c r="H127" s="288"/>
      <c r="I127" s="288"/>
      <c r="J127" s="288">
        <f>C127</f>
        <v>78982944.808959991</v>
      </c>
      <c r="K127" s="288"/>
      <c r="L127" s="288"/>
      <c r="M127" s="288"/>
      <c r="N127" s="288"/>
      <c r="O127" s="283"/>
      <c r="P127" s="283"/>
      <c r="Q127" s="283"/>
      <c r="R127" s="283">
        <f>SUM(F127:Q127)</f>
        <v>78982944.808959991</v>
      </c>
      <c r="S127" s="393"/>
      <c r="T127" s="430"/>
    </row>
    <row r="128" spans="1:20">
      <c r="A128" s="421" t="s">
        <v>627</v>
      </c>
      <c r="B128" s="422"/>
      <c r="C128" s="422"/>
      <c r="D128" s="423"/>
      <c r="E128" s="414"/>
      <c r="F128" s="390"/>
      <c r="G128" s="391"/>
      <c r="H128" s="391"/>
      <c r="I128" s="391"/>
      <c r="J128" s="391"/>
      <c r="K128" s="391"/>
      <c r="L128" s="391"/>
      <c r="M128" s="391"/>
      <c r="N128" s="391"/>
      <c r="O128" s="392"/>
      <c r="P128" s="392"/>
      <c r="Q128" s="392"/>
      <c r="R128" s="392"/>
      <c r="S128" s="392"/>
      <c r="T128" s="430"/>
    </row>
    <row r="129" spans="1:20" ht="38.25" customHeight="1">
      <c r="A129" s="341" t="str">
        <f>'COMUNIDAD Y CULTURA INSTITUCION'!B16</f>
        <v>Fortalecer el sistema de acompañamiento al estudiante en aspectos sociales, sicológicos y académicos que garantice su permanencia, retención, promoción y graduación.</v>
      </c>
      <c r="B129" s="214" t="str">
        <f>'COMUNIDAD Y CULTURA INSTITUCION'!D16</f>
        <v>ALTA
(100%)</v>
      </c>
      <c r="C129" s="224">
        <f>'COMUNIDAD Y CULTURA INSTITUCION'!AA16</f>
        <v>482880613.66272002</v>
      </c>
      <c r="D129" s="416">
        <f>SUM(C129:C131)</f>
        <v>896778282.51647997</v>
      </c>
      <c r="E129" s="414"/>
      <c r="F129" s="233"/>
      <c r="G129" s="288"/>
      <c r="H129" s="288"/>
      <c r="I129" s="288"/>
      <c r="J129" s="288"/>
      <c r="K129" s="288"/>
      <c r="L129" s="288"/>
      <c r="M129" s="288"/>
      <c r="N129" s="288"/>
      <c r="O129" s="283">
        <f>C129</f>
        <v>482880613.66272002</v>
      </c>
      <c r="P129" s="283"/>
      <c r="Q129" s="283"/>
      <c r="R129" s="283">
        <f>SUM(F129:Q129)</f>
        <v>482880613.66272002</v>
      </c>
      <c r="S129" s="393">
        <f>SUM(R129:R131)</f>
        <v>896778282.51647997</v>
      </c>
      <c r="T129" s="430"/>
    </row>
    <row r="130" spans="1:20" ht="45.75" customHeight="1">
      <c r="A130" s="341" t="str">
        <f>'COMUNIDAD Y CULTURA INSTITUCION'!B25</f>
        <v xml:space="preserve">Definir un sistema de caracterización de la comunidad Uteísta que cumpla con la ley de protección de datos personales y permita el acceso a programas y actividades institucionales conforme a las necesidades de la población. </v>
      </c>
      <c r="B130" s="214" t="str">
        <f>'COMUNIDAD Y CULTURA INSTITUCION'!D25</f>
        <v>ALTA
(90%)</v>
      </c>
      <c r="C130" s="224">
        <f>'COMUNIDAD Y CULTURA INSTITUCION'!AA25</f>
        <v>413897668.85376</v>
      </c>
      <c r="D130" s="417"/>
      <c r="E130" s="414"/>
      <c r="F130" s="233"/>
      <c r="G130" s="288"/>
      <c r="H130" s="288"/>
      <c r="I130" s="288"/>
      <c r="J130" s="288"/>
      <c r="K130" s="288">
        <f>C130</f>
        <v>413897668.85376</v>
      </c>
      <c r="L130" s="288"/>
      <c r="M130" s="288"/>
      <c r="N130" s="288"/>
      <c r="O130" s="283"/>
      <c r="P130" s="283"/>
      <c r="Q130" s="283"/>
      <c r="R130" s="283">
        <f>SUM(F130:Q130)</f>
        <v>413897668.85376</v>
      </c>
      <c r="S130" s="393"/>
      <c r="T130" s="430"/>
    </row>
    <row r="131" spans="1:20" ht="38.25" customHeight="1">
      <c r="A131" s="341" t="str">
        <f>'COMUNIDAD Y CULTURA INSTITUCION'!B27</f>
        <v>Fortalecer los mecanismos de divulgación de programas de bienestar orientados a la prevención de la deserción y a la promoción de la graduación de los estudiantes.</v>
      </c>
      <c r="B131" s="214" t="str">
        <f>'COMUNIDAD Y CULTURA INSTITUCION'!D27</f>
        <v>ALTA
(90%)</v>
      </c>
      <c r="C131" s="224">
        <f>'COMUNIDAD Y CULTURA INSTITUCION'!AA27</f>
        <v>0</v>
      </c>
      <c r="D131" s="399"/>
      <c r="E131" s="415"/>
      <c r="F131" s="233"/>
      <c r="G131" s="288"/>
      <c r="H131" s="288"/>
      <c r="I131" s="288"/>
      <c r="J131" s="288"/>
      <c r="K131" s="288"/>
      <c r="L131" s="288"/>
      <c r="M131" s="288"/>
      <c r="N131" s="288"/>
      <c r="O131" s="283"/>
      <c r="P131" s="283"/>
      <c r="Q131" s="283">
        <f>C131</f>
        <v>0</v>
      </c>
      <c r="R131" s="283">
        <f>SUM(F131:Q131)</f>
        <v>0</v>
      </c>
      <c r="S131" s="393"/>
      <c r="T131" s="431"/>
    </row>
    <row r="132" spans="1:20" ht="21" customHeight="1">
      <c r="A132" s="403" t="s">
        <v>589</v>
      </c>
      <c r="B132" s="403"/>
      <c r="C132" s="403"/>
      <c r="D132" s="403"/>
      <c r="E132" s="404"/>
      <c r="F132" s="291">
        <f>F134+F135+F137+F138+F139+F141</f>
        <v>0</v>
      </c>
      <c r="G132" s="292">
        <f t="shared" ref="G132:Q132" si="8">G134+G135+G137+G138+G139+G141</f>
        <v>0</v>
      </c>
      <c r="H132" s="292">
        <f t="shared" si="8"/>
        <v>0</v>
      </c>
      <c r="I132" s="292">
        <f t="shared" si="8"/>
        <v>0</v>
      </c>
      <c r="J132" s="292">
        <f t="shared" si="8"/>
        <v>0</v>
      </c>
      <c r="K132" s="292">
        <f t="shared" si="8"/>
        <v>394914724.04480004</v>
      </c>
      <c r="L132" s="292">
        <f t="shared" si="8"/>
        <v>0</v>
      </c>
      <c r="M132" s="292">
        <f t="shared" si="8"/>
        <v>0</v>
      </c>
      <c r="N132" s="292">
        <f t="shared" si="8"/>
        <v>551863558.47167993</v>
      </c>
      <c r="O132" s="292">
        <f t="shared" si="8"/>
        <v>0</v>
      </c>
      <c r="P132" s="292">
        <f t="shared" si="8"/>
        <v>0</v>
      </c>
      <c r="Q132" s="292">
        <f t="shared" si="8"/>
        <v>0</v>
      </c>
      <c r="R132" s="245"/>
      <c r="S132" s="245"/>
      <c r="T132" s="247"/>
    </row>
    <row r="133" spans="1:20">
      <c r="A133" s="421" t="s">
        <v>628</v>
      </c>
      <c r="B133" s="422"/>
      <c r="C133" s="422"/>
      <c r="D133" s="423"/>
      <c r="E133" s="424">
        <f>D134+D137+D141</f>
        <v>946778282.51647997</v>
      </c>
      <c r="F133" s="390"/>
      <c r="G133" s="391"/>
      <c r="H133" s="391"/>
      <c r="I133" s="391"/>
      <c r="J133" s="391"/>
      <c r="K133" s="391"/>
      <c r="L133" s="391"/>
      <c r="M133" s="391"/>
      <c r="N133" s="391"/>
      <c r="O133" s="392"/>
      <c r="P133" s="392"/>
      <c r="Q133" s="392"/>
      <c r="R133" s="392"/>
      <c r="S133" s="392"/>
      <c r="T133" s="429">
        <f>S134+S137+S141</f>
        <v>946778282.51647997</v>
      </c>
    </row>
    <row r="134" spans="1:20" ht="34.5" customHeight="1">
      <c r="A134" s="344" t="str">
        <f>'DIVERSIDAD E INCLUSIÓN'!B5</f>
        <v>Promover el respeto a la individualidad del educando y la interculturalidad de los mismos.</v>
      </c>
      <c r="B134" s="217" t="str">
        <f>'DIVERSIDAD E INCLUSIÓN'!D5</f>
        <v>MEDIA
(71%)</v>
      </c>
      <c r="C134" s="224">
        <f>'DIVERSIDAD E INCLUSIÓN'!AA5</f>
        <v>0</v>
      </c>
      <c r="D134" s="416">
        <f>SUM(C134:C135)</f>
        <v>551863558.47167993</v>
      </c>
      <c r="E134" s="425"/>
      <c r="F134" s="233"/>
      <c r="G134" s="288"/>
      <c r="H134" s="288"/>
      <c r="I134" s="288"/>
      <c r="J134" s="288"/>
      <c r="K134" s="288"/>
      <c r="L134" s="288"/>
      <c r="M134" s="288"/>
      <c r="N134" s="288"/>
      <c r="O134" s="283"/>
      <c r="P134" s="283"/>
      <c r="Q134" s="283">
        <f>C134</f>
        <v>0</v>
      </c>
      <c r="R134" s="283">
        <f>SUM(F134:Q134)</f>
        <v>0</v>
      </c>
      <c r="S134" s="393">
        <f>SUM(R134:R135)</f>
        <v>551863558.47167993</v>
      </c>
      <c r="T134" s="430"/>
    </row>
    <row r="135" spans="1:20" ht="34.5" customHeight="1">
      <c r="A135" s="344" t="str">
        <f>'DIVERSIDAD E INCLUSIÓN'!B7</f>
        <v>Diseñar e implementar programas de reconocimiento de la interculturalidad y el respeto por el otro.</v>
      </c>
      <c r="B135" s="217" t="str">
        <f>'DIVERSIDAD E INCLUSIÓN'!D7</f>
        <v>ALTA
(95%)</v>
      </c>
      <c r="C135" s="224">
        <f>'DIVERSIDAD E INCLUSIÓN'!AA7</f>
        <v>551863558.47167993</v>
      </c>
      <c r="D135" s="399"/>
      <c r="E135" s="425"/>
      <c r="F135" s="233"/>
      <c r="G135" s="288"/>
      <c r="H135" s="288"/>
      <c r="I135" s="288"/>
      <c r="J135" s="288"/>
      <c r="K135" s="288"/>
      <c r="L135" s="288"/>
      <c r="M135" s="288"/>
      <c r="N135" s="288">
        <f>C135</f>
        <v>551863558.47167993</v>
      </c>
      <c r="O135" s="283"/>
      <c r="P135" s="283"/>
      <c r="Q135" s="283"/>
      <c r="R135" s="283">
        <f>SUM(F135:Q135)</f>
        <v>551863558.47167993</v>
      </c>
      <c r="S135" s="393"/>
      <c r="T135" s="430"/>
    </row>
    <row r="136" spans="1:20">
      <c r="A136" s="421" t="s">
        <v>629</v>
      </c>
      <c r="B136" s="422"/>
      <c r="C136" s="422"/>
      <c r="D136" s="423"/>
      <c r="E136" s="425"/>
      <c r="F136" s="390"/>
      <c r="G136" s="391"/>
      <c r="H136" s="391"/>
      <c r="I136" s="391"/>
      <c r="J136" s="391"/>
      <c r="K136" s="391"/>
      <c r="L136" s="391"/>
      <c r="M136" s="391"/>
      <c r="N136" s="391"/>
      <c r="O136" s="392"/>
      <c r="P136" s="392"/>
      <c r="Q136" s="392"/>
      <c r="R136" s="392"/>
      <c r="S136" s="392"/>
      <c r="T136" s="430"/>
    </row>
    <row r="137" spans="1:20" ht="38.25" customHeight="1">
      <c r="A137" s="344" t="str">
        <f>'DIVERSIDAD E INCLUSIÓN'!B9</f>
        <v>Desarrollar acciones de sensibilización y concientización en asuntos de género, equidad, diversidad e inclusión para la comunidad Uteísta con el apoyo y participación de grupos de interés y entidades externas aliadas.</v>
      </c>
      <c r="B137" s="217" t="str">
        <f>'DIVERSIDAD E INCLUSIÓN'!D9</f>
        <v>ALTA
(88%)</v>
      </c>
      <c r="C137" s="224">
        <f>'DIVERSIDAD E INCLUSIÓN'!AA9</f>
        <v>0</v>
      </c>
      <c r="D137" s="416">
        <f>SUM(C137:C139)</f>
        <v>394914724.04480004</v>
      </c>
      <c r="E137" s="425"/>
      <c r="F137" s="233"/>
      <c r="G137" s="288"/>
      <c r="H137" s="288"/>
      <c r="I137" s="288"/>
      <c r="J137" s="288"/>
      <c r="K137" s="288"/>
      <c r="L137" s="288"/>
      <c r="M137" s="288"/>
      <c r="N137" s="288"/>
      <c r="O137" s="283"/>
      <c r="P137" s="283"/>
      <c r="Q137" s="283">
        <f>C137</f>
        <v>0</v>
      </c>
      <c r="R137" s="283">
        <f>SUM(F137:Q137)</f>
        <v>0</v>
      </c>
      <c r="S137" s="393">
        <f>SUM(R137:R139)</f>
        <v>394914724.04480004</v>
      </c>
      <c r="T137" s="430"/>
    </row>
    <row r="138" spans="1:20" ht="38.25" customHeight="1">
      <c r="A138" s="344" t="str">
        <f>'DIVERSIDAD E INCLUSIÓN'!B12</f>
        <v>Fortalecer  estrategias para la prevención y atención de violencias relacionadas con las diferencias de género.</v>
      </c>
      <c r="B138" s="217" t="str">
        <f>'DIVERSIDAD E INCLUSIÓN'!D12</f>
        <v>MEDIA
(77%)</v>
      </c>
      <c r="C138" s="224">
        <f>'DIVERSIDAD E INCLUSIÓN'!AA12</f>
        <v>0</v>
      </c>
      <c r="D138" s="417"/>
      <c r="E138" s="425"/>
      <c r="F138" s="233"/>
      <c r="G138" s="288"/>
      <c r="H138" s="288"/>
      <c r="I138" s="288"/>
      <c r="J138" s="288"/>
      <c r="K138" s="288"/>
      <c r="L138" s="288"/>
      <c r="M138" s="288"/>
      <c r="N138" s="288"/>
      <c r="O138" s="283"/>
      <c r="P138" s="283"/>
      <c r="Q138" s="283">
        <f>C138</f>
        <v>0</v>
      </c>
      <c r="R138" s="283">
        <f>SUM(F138:Q138)</f>
        <v>0</v>
      </c>
      <c r="S138" s="393"/>
      <c r="T138" s="430"/>
    </row>
    <row r="139" spans="1:20" ht="38.25" customHeight="1">
      <c r="A139" s="344" t="str">
        <f>'DIVERSIDAD E INCLUSIÓN'!B14</f>
        <v>Diseño e Implementación de un plan de acción para brindar acompañamiento en  procesos de educación inclusiva</v>
      </c>
      <c r="B139" s="217" t="str">
        <f>'DIVERSIDAD E INCLUSIÓN'!D14</f>
        <v>ALTA
(100%)</v>
      </c>
      <c r="C139" s="224">
        <f>'DIVERSIDAD E INCLUSIÓN'!AA14</f>
        <v>394914724.04480004</v>
      </c>
      <c r="D139" s="399"/>
      <c r="E139" s="425"/>
      <c r="F139" s="233"/>
      <c r="G139" s="288"/>
      <c r="H139" s="288"/>
      <c r="I139" s="288"/>
      <c r="J139" s="288"/>
      <c r="K139" s="288">
        <f>C139</f>
        <v>394914724.04480004</v>
      </c>
      <c r="L139" s="288"/>
      <c r="M139" s="288"/>
      <c r="N139" s="288"/>
      <c r="O139" s="283"/>
      <c r="P139" s="283"/>
      <c r="Q139" s="283"/>
      <c r="R139" s="283">
        <f>SUM(F139:Q139)</f>
        <v>394914724.04480004</v>
      </c>
      <c r="S139" s="393"/>
      <c r="T139" s="430"/>
    </row>
    <row r="140" spans="1:20">
      <c r="A140" s="421" t="s">
        <v>630</v>
      </c>
      <c r="B140" s="422"/>
      <c r="C140" s="422"/>
      <c r="D140" s="423"/>
      <c r="E140" s="425"/>
      <c r="F140" s="390"/>
      <c r="G140" s="391"/>
      <c r="H140" s="391"/>
      <c r="I140" s="391"/>
      <c r="J140" s="391"/>
      <c r="K140" s="391"/>
      <c r="L140" s="391"/>
      <c r="M140" s="391"/>
      <c r="N140" s="391"/>
      <c r="O140" s="392"/>
      <c r="P140" s="392"/>
      <c r="Q140" s="392"/>
      <c r="R140" s="392"/>
      <c r="S140" s="392"/>
      <c r="T140" s="430"/>
    </row>
    <row r="141" spans="1:20" ht="34.5" customHeight="1">
      <c r="A141" s="341" t="str">
        <f>'DIVERSIDAD E INCLUSIÓN'!B16</f>
        <v>Implementar un plan de inclusión social para la comunidad en situación de vulnerabilidad (mujeres, etnias, víctimas de conflicto armado, discapacitados entre otros).</v>
      </c>
      <c r="B141" s="218" t="str">
        <f>'DIVERSIDAD E INCLUSIÓN'!D16</f>
        <v>ALTA
(95%)</v>
      </c>
      <c r="C141" s="224">
        <f>'DIVERSIDAD E INCLUSIÓN'!AA16</f>
        <v>0</v>
      </c>
      <c r="D141" s="224">
        <f>C141</f>
        <v>0</v>
      </c>
      <c r="E141" s="426"/>
      <c r="F141" s="233"/>
      <c r="G141" s="288"/>
      <c r="H141" s="288"/>
      <c r="I141" s="288"/>
      <c r="J141" s="288"/>
      <c r="K141" s="288"/>
      <c r="L141" s="288"/>
      <c r="M141" s="288"/>
      <c r="N141" s="288"/>
      <c r="O141" s="283"/>
      <c r="P141" s="283"/>
      <c r="Q141" s="283">
        <f>C141</f>
        <v>0</v>
      </c>
      <c r="R141" s="283">
        <f>SUM(F141:Q141)</f>
        <v>0</v>
      </c>
      <c r="S141" s="283">
        <f>R141</f>
        <v>0</v>
      </c>
      <c r="T141" s="431"/>
    </row>
    <row r="142" spans="1:20" ht="24.75" customHeight="1">
      <c r="A142" s="406" t="s">
        <v>590</v>
      </c>
      <c r="B142" s="406"/>
      <c r="C142" s="406"/>
      <c r="D142" s="406"/>
      <c r="E142" s="407"/>
      <c r="F142" s="432"/>
      <c r="G142" s="433"/>
      <c r="H142" s="433"/>
      <c r="I142" s="433"/>
      <c r="J142" s="433"/>
      <c r="K142" s="433"/>
      <c r="L142" s="433"/>
      <c r="M142" s="433"/>
      <c r="N142" s="433"/>
      <c r="O142" s="433"/>
      <c r="P142" s="433"/>
      <c r="Q142" s="433"/>
      <c r="R142" s="433"/>
      <c r="S142" s="433"/>
      <c r="T142" s="434"/>
    </row>
    <row r="143" spans="1:20" ht="21" customHeight="1">
      <c r="A143" s="403" t="s">
        <v>641</v>
      </c>
      <c r="B143" s="403"/>
      <c r="C143" s="403"/>
      <c r="D143" s="403"/>
      <c r="E143" s="404"/>
      <c r="F143" s="291">
        <f>F145+F146+F147+F149+F150+F151+F152+F153+F155+F157+F158+F160</f>
        <v>0</v>
      </c>
      <c r="G143" s="292">
        <f t="shared" ref="G143:Q143" si="9">G145+G146+G147+G149+G150+G151+G152+G153+G155+G157+G158+G160</f>
        <v>0</v>
      </c>
      <c r="H143" s="292">
        <f t="shared" si="9"/>
        <v>0</v>
      </c>
      <c r="I143" s="292">
        <f t="shared" si="9"/>
        <v>0</v>
      </c>
      <c r="J143" s="292">
        <f t="shared" si="9"/>
        <v>3001351902.7404799</v>
      </c>
      <c r="K143" s="292">
        <f t="shared" si="9"/>
        <v>8688123928.9855995</v>
      </c>
      <c r="L143" s="292">
        <f t="shared" si="9"/>
        <v>0</v>
      </c>
      <c r="M143" s="292">
        <f t="shared" si="9"/>
        <v>0</v>
      </c>
      <c r="N143" s="292">
        <f t="shared" si="9"/>
        <v>0</v>
      </c>
      <c r="O143" s="292">
        <f t="shared" si="9"/>
        <v>0</v>
      </c>
      <c r="P143" s="292">
        <f t="shared" si="9"/>
        <v>0</v>
      </c>
      <c r="Q143" s="292">
        <f t="shared" si="9"/>
        <v>0</v>
      </c>
      <c r="R143" s="245"/>
      <c r="S143" s="245"/>
      <c r="T143" s="247"/>
    </row>
    <row r="144" spans="1:20">
      <c r="A144" s="421" t="s">
        <v>645</v>
      </c>
      <c r="B144" s="422"/>
      <c r="C144" s="422"/>
      <c r="D144" s="423"/>
      <c r="E144" s="418">
        <f>D145+D149+D155+D157+D160</f>
        <v>11689475831.72608</v>
      </c>
      <c r="F144" s="390"/>
      <c r="G144" s="391"/>
      <c r="H144" s="391"/>
      <c r="I144" s="391"/>
      <c r="J144" s="391"/>
      <c r="K144" s="391"/>
      <c r="L144" s="391"/>
      <c r="M144" s="391"/>
      <c r="N144" s="391"/>
      <c r="O144" s="392"/>
      <c r="P144" s="392"/>
      <c r="Q144" s="392"/>
      <c r="R144" s="392"/>
      <c r="S144" s="392"/>
      <c r="T144" s="429">
        <f>S145+S149+S155+S157+S160</f>
        <v>11689475831.72608</v>
      </c>
    </row>
    <row r="145" spans="1:20" ht="33" customHeight="1">
      <c r="A145" s="344" t="str">
        <f>'GOBERNABILIDAD Y GOBERNABILIDAD'!B5</f>
        <v>Crear e implementar una política de emprendimiento institucional que fortalezca la creatividad y productividad de la comunidad Uteísta.</v>
      </c>
      <c r="B145" s="244" t="str">
        <f>'GOBERNABILIDAD Y GOBERNABILIDAD'!D5</f>
        <v>ALTA 
(91%)</v>
      </c>
      <c r="C145" s="227">
        <f>'GOBERNABILIDAD Y GOBERNABILIDAD'!AA5</f>
        <v>0</v>
      </c>
      <c r="D145" s="393">
        <f>SUM(C145:C147)</f>
        <v>0</v>
      </c>
      <c r="E145" s="419"/>
      <c r="F145" s="231"/>
      <c r="G145" s="289"/>
      <c r="H145" s="289"/>
      <c r="I145" s="289"/>
      <c r="J145" s="289"/>
      <c r="K145" s="289"/>
      <c r="L145" s="289"/>
      <c r="M145" s="289"/>
      <c r="N145" s="289"/>
      <c r="O145" s="232"/>
      <c r="P145" s="232"/>
      <c r="Q145" s="327">
        <f>C145</f>
        <v>0</v>
      </c>
      <c r="R145" s="227">
        <f>SUM(F145:Q145)</f>
        <v>0</v>
      </c>
      <c r="S145" s="393">
        <f>SUM(R145:R147)</f>
        <v>0</v>
      </c>
      <c r="T145" s="430"/>
    </row>
    <row r="146" spans="1:20" ht="33" customHeight="1">
      <c r="A146" s="344" t="str">
        <f>'GOBERNABILIDAD Y GOBERNABILIDAD'!B7</f>
        <v>Crear e implementar una política que promueva el desarrollo sostenible de la institución.</v>
      </c>
      <c r="B146" s="244" t="str">
        <f>'GOBERNABILIDAD Y GOBERNABILIDAD'!D7</f>
        <v>ALTA 
(84%)</v>
      </c>
      <c r="C146" s="227">
        <f>'GOBERNABILIDAD Y GOBERNABILIDAD'!AA7</f>
        <v>0</v>
      </c>
      <c r="D146" s="393"/>
      <c r="E146" s="419"/>
      <c r="F146" s="231"/>
      <c r="G146" s="289"/>
      <c r="H146" s="289"/>
      <c r="I146" s="289"/>
      <c r="J146" s="289"/>
      <c r="K146" s="289"/>
      <c r="L146" s="289"/>
      <c r="M146" s="289"/>
      <c r="N146" s="289"/>
      <c r="O146" s="232"/>
      <c r="P146" s="232"/>
      <c r="Q146" s="327">
        <f>C146</f>
        <v>0</v>
      </c>
      <c r="R146" s="227">
        <f>SUM(F146:Q146)</f>
        <v>0</v>
      </c>
      <c r="S146" s="393"/>
      <c r="T146" s="430"/>
    </row>
    <row r="147" spans="1:20" ht="33" customHeight="1">
      <c r="A147" s="344" t="str">
        <f>'GOBERNABILIDAD Y GOBERNABILIDAD'!B9</f>
        <v>Fortalecer el modelo integrado de planeación y gestión con el objeto de transformar las UTS en una institución flexible, eficiente y efectiva.</v>
      </c>
      <c r="B147" s="244" t="str">
        <f>'GOBERNABILIDAD Y GOBERNABILIDAD'!D9</f>
        <v>ALTA 
(100%)</v>
      </c>
      <c r="C147" s="227">
        <f>'GOBERNABILIDAD Y GOBERNABILIDAD'!AA9</f>
        <v>0</v>
      </c>
      <c r="D147" s="393"/>
      <c r="E147" s="419"/>
      <c r="F147" s="231"/>
      <c r="G147" s="289"/>
      <c r="H147" s="289"/>
      <c r="I147" s="289"/>
      <c r="J147" s="289"/>
      <c r="K147" s="289"/>
      <c r="L147" s="289"/>
      <c r="M147" s="289"/>
      <c r="N147" s="289"/>
      <c r="O147" s="232"/>
      <c r="P147" s="232"/>
      <c r="Q147" s="327">
        <f>C147</f>
        <v>0</v>
      </c>
      <c r="R147" s="227">
        <f>SUM(F147:Q147)</f>
        <v>0</v>
      </c>
      <c r="S147" s="393"/>
      <c r="T147" s="430"/>
    </row>
    <row r="148" spans="1:20">
      <c r="A148" s="421" t="s">
        <v>646</v>
      </c>
      <c r="B148" s="422"/>
      <c r="C148" s="422"/>
      <c r="D148" s="423"/>
      <c r="E148" s="419"/>
      <c r="F148" s="435"/>
      <c r="G148" s="436"/>
      <c r="H148" s="436"/>
      <c r="I148" s="436"/>
      <c r="J148" s="436"/>
      <c r="K148" s="436"/>
      <c r="L148" s="436"/>
      <c r="M148" s="436"/>
      <c r="N148" s="436"/>
      <c r="O148" s="436"/>
      <c r="P148" s="436"/>
      <c r="Q148" s="436"/>
      <c r="R148" s="436"/>
      <c r="S148" s="401"/>
      <c r="T148" s="430"/>
    </row>
    <row r="149" spans="1:20" ht="48.75" customHeight="1">
      <c r="A149" s="344" t="str">
        <f>'GOBERNABILIDAD Y GOBERNABILIDAD'!B11</f>
        <v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v>
      </c>
      <c r="B149" s="244" t="str">
        <f>'GOBERNABILIDAD Y GOBERNABILIDAD'!D11</f>
        <v>MEDIA 
(79%)</v>
      </c>
      <c r="C149" s="227">
        <f>'GOBERNABILIDAD Y GOBERNABILIDAD'!AA11</f>
        <v>0</v>
      </c>
      <c r="D149" s="416">
        <f>SUM(C149:C153)</f>
        <v>3001351902.7404799</v>
      </c>
      <c r="E149" s="419"/>
      <c r="F149" s="233"/>
      <c r="G149" s="288"/>
      <c r="H149" s="288"/>
      <c r="I149" s="288"/>
      <c r="J149" s="288"/>
      <c r="K149" s="288"/>
      <c r="L149" s="288"/>
      <c r="M149" s="288"/>
      <c r="N149" s="288"/>
      <c r="O149" s="283"/>
      <c r="P149" s="283"/>
      <c r="Q149" s="283">
        <f>C149</f>
        <v>0</v>
      </c>
      <c r="R149" s="283">
        <f>SUM(F149:Q149)</f>
        <v>0</v>
      </c>
      <c r="S149" s="416">
        <f>SUM(R149:R153)</f>
        <v>3001351902.7404799</v>
      </c>
      <c r="T149" s="430"/>
    </row>
    <row r="150" spans="1:20" ht="48.75" customHeight="1">
      <c r="A150" s="344" t="str">
        <f>'GOBERNABILIDAD Y GOBERNABILIDAD'!B13</f>
        <v>Fomentar una cultura organizacional enfocada en liderazgo, creatividad, competitividad, productividad y colaboración, que permita el desarrollo, crecimiento, cualificación y transformación del capital intelectual y el mejoramiento del  ambiente Institucional de las UTS.</v>
      </c>
      <c r="B150" s="244" t="str">
        <f>'GOBERNABILIDAD Y GOBERNABILIDAD'!D13</f>
        <v>ALTA 
(80%)</v>
      </c>
      <c r="C150" s="227">
        <f>'GOBERNABILIDAD Y GOBERNABILIDAD'!AA13</f>
        <v>0</v>
      </c>
      <c r="D150" s="417"/>
      <c r="E150" s="419"/>
      <c r="F150" s="233"/>
      <c r="G150" s="288"/>
      <c r="H150" s="288"/>
      <c r="I150" s="288"/>
      <c r="J150" s="288"/>
      <c r="K150" s="288"/>
      <c r="L150" s="288"/>
      <c r="M150" s="288"/>
      <c r="N150" s="288"/>
      <c r="O150" s="283"/>
      <c r="P150" s="283"/>
      <c r="Q150" s="283">
        <f>C150</f>
        <v>0</v>
      </c>
      <c r="R150" s="283">
        <f>SUM(F150:Q150)</f>
        <v>0</v>
      </c>
      <c r="S150" s="417"/>
      <c r="T150" s="430"/>
    </row>
    <row r="151" spans="1:20" ht="29.25" customHeight="1">
      <c r="A151" s="344" t="str">
        <f>'GOBERNABILIDAD Y GOBERNABILIDAD'!B14</f>
        <v>Estructurar procesos sistémicos para ser dinámicos y flexibles y evitar la complejidad de trámites.</v>
      </c>
      <c r="B151" s="244" t="str">
        <f>'GOBERNABILIDAD Y GOBERNABILIDAD'!D14</f>
        <v>MEDIA 
(74%)</v>
      </c>
      <c r="C151" s="227">
        <f>'GOBERNABILIDAD Y GOBERNABILIDAD'!AA14</f>
        <v>0</v>
      </c>
      <c r="D151" s="417"/>
      <c r="E151" s="419"/>
      <c r="F151" s="233"/>
      <c r="G151" s="288"/>
      <c r="H151" s="288"/>
      <c r="I151" s="288"/>
      <c r="J151" s="288"/>
      <c r="K151" s="288"/>
      <c r="L151" s="288"/>
      <c r="M151" s="288"/>
      <c r="N151" s="288"/>
      <c r="O151" s="283"/>
      <c r="P151" s="283"/>
      <c r="Q151" s="283">
        <f>C151</f>
        <v>0</v>
      </c>
      <c r="R151" s="283">
        <f>SUM(F151:Q151)</f>
        <v>0</v>
      </c>
      <c r="S151" s="417"/>
      <c r="T151" s="430"/>
    </row>
    <row r="152" spans="1:20" ht="39" customHeight="1">
      <c r="A152" s="344" t="str">
        <f>'GOBERNABILIDAD Y GOBERNABILIDAD'!B15</f>
        <v>Fortalecer el plan de capacitación para la comunidad Uteísta que incluya temáticas de diversidad e inclusión, enfoque de género, equidad, democracia, construcción de paz, resolución de conflictos, entre otras.</v>
      </c>
      <c r="B152" s="244" t="str">
        <f>'GOBERNABILIDAD Y GOBERNABILIDAD'!D15</f>
        <v>ALTA 
(84%)</v>
      </c>
      <c r="C152" s="227">
        <f>'GOBERNABILIDAD Y GOBERNABILIDAD'!AA15</f>
        <v>3001351902.7404799</v>
      </c>
      <c r="D152" s="417"/>
      <c r="E152" s="419"/>
      <c r="F152" s="233"/>
      <c r="G152" s="288"/>
      <c r="H152" s="288"/>
      <c r="I152" s="288"/>
      <c r="J152" s="288">
        <f>C152</f>
        <v>3001351902.7404799</v>
      </c>
      <c r="K152" s="288"/>
      <c r="L152" s="288"/>
      <c r="M152" s="288"/>
      <c r="N152" s="288"/>
      <c r="O152" s="283"/>
      <c r="P152" s="283"/>
      <c r="Q152" s="283"/>
      <c r="R152" s="283">
        <f>SUM(F152:Q152)</f>
        <v>3001351902.7404799</v>
      </c>
      <c r="S152" s="417"/>
      <c r="T152" s="430"/>
    </row>
    <row r="153" spans="1:20" ht="48.75" customHeight="1">
      <c r="A153" s="344" t="str">
        <f>'GOBERNABILIDAD Y GOBERNABILIDAD'!B16</f>
        <v>Fortalecer la arquitectura institucional que soporta las estrategias, planes y actividades propias del quehacer institucional para lograr articulación entre los diferentes procesos dando cumplimiento a las labores misionales.</v>
      </c>
      <c r="B153" s="244" t="str">
        <f>'GOBERNABILIDAD Y GOBERNABILIDAD'!D16</f>
        <v>ALTA 
(98%)</v>
      </c>
      <c r="C153" s="227">
        <f>'GOBERNABILIDAD Y GOBERNABILIDAD'!AA16</f>
        <v>0</v>
      </c>
      <c r="D153" s="399"/>
      <c r="E153" s="419"/>
      <c r="F153" s="233"/>
      <c r="G153" s="288"/>
      <c r="H153" s="288"/>
      <c r="I153" s="288"/>
      <c r="J153" s="288"/>
      <c r="K153" s="288"/>
      <c r="L153" s="288"/>
      <c r="M153" s="288"/>
      <c r="N153" s="288"/>
      <c r="O153" s="283"/>
      <c r="P153" s="283"/>
      <c r="Q153" s="283">
        <f>C153</f>
        <v>0</v>
      </c>
      <c r="R153" s="283">
        <f>SUM(F153:Q153)</f>
        <v>0</v>
      </c>
      <c r="S153" s="399"/>
      <c r="T153" s="430"/>
    </row>
    <row r="154" spans="1:20">
      <c r="A154" s="421" t="s">
        <v>647</v>
      </c>
      <c r="B154" s="422"/>
      <c r="C154" s="422"/>
      <c r="D154" s="423"/>
      <c r="E154" s="419"/>
      <c r="F154" s="435"/>
      <c r="G154" s="436"/>
      <c r="H154" s="436"/>
      <c r="I154" s="436"/>
      <c r="J154" s="436"/>
      <c r="K154" s="436"/>
      <c r="L154" s="436"/>
      <c r="M154" s="436"/>
      <c r="N154" s="436"/>
      <c r="O154" s="436"/>
      <c r="P154" s="436"/>
      <c r="Q154" s="436"/>
      <c r="R154" s="436"/>
      <c r="S154" s="401"/>
      <c r="T154" s="430"/>
    </row>
    <row r="155" spans="1:20" ht="48.75" customHeight="1">
      <c r="A155" s="344" t="str">
        <f>'GOBERNABILIDAD Y GOBERNABILIDAD'!B19</f>
        <v>Fortalecer la representación de estudiantes, docentes, administrativos y graduados en el modelo de gobernanza de las UTS proporcionándoles  orientación o capacitación en los procesos institucionales y tendencias nacionales sobre educación.</v>
      </c>
      <c r="B155" s="244" t="str">
        <f>'GOBERNABILIDAD Y GOBERNABILIDAD'!D19</f>
        <v>ALTA 
(80%)</v>
      </c>
      <c r="C155" s="227">
        <f>'GOBERNABILIDAD Y GOBERNABILIDAD'!AA19</f>
        <v>0</v>
      </c>
      <c r="D155" s="227">
        <f>SUM(C155:C155)</f>
        <v>0</v>
      </c>
      <c r="E155" s="419"/>
      <c r="F155" s="233"/>
      <c r="G155" s="288"/>
      <c r="H155" s="288"/>
      <c r="I155" s="288"/>
      <c r="J155" s="288"/>
      <c r="K155" s="288"/>
      <c r="L155" s="288"/>
      <c r="M155" s="288"/>
      <c r="N155" s="288"/>
      <c r="O155" s="283"/>
      <c r="P155" s="283"/>
      <c r="Q155" s="283">
        <f>C155</f>
        <v>0</v>
      </c>
      <c r="R155" s="283">
        <f>SUM(F155:Q155)</f>
        <v>0</v>
      </c>
      <c r="S155" s="283">
        <f>SUM(R155)</f>
        <v>0</v>
      </c>
      <c r="T155" s="430"/>
    </row>
    <row r="156" spans="1:20">
      <c r="A156" s="421" t="s">
        <v>648</v>
      </c>
      <c r="B156" s="422"/>
      <c r="C156" s="422"/>
      <c r="D156" s="423"/>
      <c r="E156" s="419"/>
      <c r="F156" s="435"/>
      <c r="G156" s="436"/>
      <c r="H156" s="436"/>
      <c r="I156" s="436"/>
      <c r="J156" s="436"/>
      <c r="K156" s="436"/>
      <c r="L156" s="436"/>
      <c r="M156" s="436"/>
      <c r="N156" s="436"/>
      <c r="O156" s="436"/>
      <c r="P156" s="436"/>
      <c r="Q156" s="436"/>
      <c r="R156" s="436"/>
      <c r="S156" s="401"/>
      <c r="T156" s="430"/>
    </row>
    <row r="157" spans="1:20" ht="50.25" customHeight="1">
      <c r="A157" s="344" t="str">
        <f>'GOBERNABILIDAD Y GOBERNABILIDAD'!B20</f>
        <v>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v>
      </c>
      <c r="B157" s="244" t="str">
        <f>'GOBERNABILIDAD Y GOBERNABILIDAD'!D20</f>
        <v>ALTA 
(80%)</v>
      </c>
      <c r="C157" s="227">
        <f>'GOBERNABILIDAD Y GOBERNABILIDAD'!AA20</f>
        <v>0</v>
      </c>
      <c r="D157" s="393">
        <f>SUM(C157:C158)</f>
        <v>0</v>
      </c>
      <c r="E157" s="419"/>
      <c r="F157" s="233"/>
      <c r="G157" s="288"/>
      <c r="H157" s="288"/>
      <c r="I157" s="288"/>
      <c r="J157" s="288"/>
      <c r="K157" s="288"/>
      <c r="L157" s="288"/>
      <c r="M157" s="288"/>
      <c r="N157" s="288"/>
      <c r="O157" s="283"/>
      <c r="P157" s="283"/>
      <c r="Q157" s="283">
        <f>C157</f>
        <v>0</v>
      </c>
      <c r="R157" s="283">
        <f>SUM(F157:Q157)</f>
        <v>0</v>
      </c>
      <c r="S157" s="416">
        <f>SUM(R157:R158)</f>
        <v>0</v>
      </c>
      <c r="T157" s="430"/>
    </row>
    <row r="158" spans="1:20" ht="36" customHeight="1">
      <c r="A158" s="344" t="str">
        <f>'GOBERNABILIDAD Y GOBERNABILIDAD'!B22</f>
        <v>Generar espacios y encuentros presenciales y virtuales para lograr una efectiva apropiación del código de integridad institucional.</v>
      </c>
      <c r="B158" s="244" t="str">
        <f>'GOBERNABILIDAD Y GOBERNABILIDAD'!D22</f>
        <v>ALTA 
(80%)</v>
      </c>
      <c r="C158" s="227">
        <f>'GOBERNABILIDAD Y GOBERNABILIDAD'!AA22</f>
        <v>0</v>
      </c>
      <c r="D158" s="393"/>
      <c r="E158" s="419"/>
      <c r="F158" s="233"/>
      <c r="G158" s="288"/>
      <c r="H158" s="288"/>
      <c r="I158" s="288"/>
      <c r="J158" s="288"/>
      <c r="K158" s="288"/>
      <c r="L158" s="288"/>
      <c r="M158" s="288"/>
      <c r="N158" s="288"/>
      <c r="O158" s="283"/>
      <c r="P158" s="283"/>
      <c r="Q158" s="283">
        <f>C158</f>
        <v>0</v>
      </c>
      <c r="R158" s="283">
        <f>SUM(F158:Q158)</f>
        <v>0</v>
      </c>
      <c r="S158" s="399"/>
      <c r="T158" s="430"/>
    </row>
    <row r="159" spans="1:20">
      <c r="A159" s="421" t="s">
        <v>649</v>
      </c>
      <c r="B159" s="422"/>
      <c r="C159" s="422"/>
      <c r="D159" s="423"/>
      <c r="E159" s="419"/>
      <c r="F159" s="435"/>
      <c r="G159" s="436"/>
      <c r="H159" s="436"/>
      <c r="I159" s="436"/>
      <c r="J159" s="436"/>
      <c r="K159" s="436"/>
      <c r="L159" s="436"/>
      <c r="M159" s="436"/>
      <c r="N159" s="436"/>
      <c r="O159" s="436"/>
      <c r="P159" s="436"/>
      <c r="Q159" s="436"/>
      <c r="R159" s="436"/>
      <c r="S159" s="401"/>
      <c r="T159" s="430"/>
    </row>
    <row r="160" spans="1:20" ht="47.25" customHeight="1">
      <c r="A160" s="344" t="str">
        <f>'GOBERNABILIDAD Y GOBERNABILIDAD'!B23</f>
        <v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v>
      </c>
      <c r="B160" s="244" t="str">
        <f>'GOBERNABILIDAD Y GOBERNABILIDAD'!D23</f>
        <v>ALTA 
(80%)</v>
      </c>
      <c r="C160" s="227">
        <f>'GOBERNABILIDAD Y GOBERNABILIDAD'!AA23</f>
        <v>8688123928.9855995</v>
      </c>
      <c r="D160" s="302">
        <f>SUM(C160:C160)</f>
        <v>8688123928.9855995</v>
      </c>
      <c r="E160" s="419"/>
      <c r="F160" s="233"/>
      <c r="G160" s="288"/>
      <c r="H160" s="288"/>
      <c r="I160" s="288"/>
      <c r="J160" s="288"/>
      <c r="K160" s="288">
        <f>C160</f>
        <v>8688123928.9855995</v>
      </c>
      <c r="L160" s="288"/>
      <c r="M160" s="288"/>
      <c r="N160" s="288"/>
      <c r="O160" s="283"/>
      <c r="P160" s="283"/>
      <c r="Q160" s="283"/>
      <c r="R160" s="283">
        <f>SUM(F160:Q160)</f>
        <v>8688123928.9855995</v>
      </c>
      <c r="S160" s="300">
        <f>SUM(R160:R160)</f>
        <v>8688123928.9855995</v>
      </c>
      <c r="T160" s="430"/>
    </row>
    <row r="161" spans="1:20" ht="24.75" customHeight="1">
      <c r="A161" s="223"/>
      <c r="B161" s="223"/>
      <c r="C161" s="223"/>
      <c r="D161" s="223"/>
      <c r="E161" s="243"/>
      <c r="F161" s="432"/>
      <c r="G161" s="433"/>
      <c r="H161" s="433"/>
      <c r="I161" s="433"/>
      <c r="J161" s="433"/>
      <c r="K161" s="433"/>
      <c r="L161" s="433"/>
      <c r="M161" s="433"/>
      <c r="N161" s="433"/>
      <c r="O161" s="433"/>
      <c r="P161" s="433"/>
      <c r="Q161" s="433"/>
      <c r="R161" s="433"/>
      <c r="S161" s="433"/>
      <c r="T161" s="434"/>
    </row>
    <row r="162" spans="1:20" ht="21" customHeight="1">
      <c r="A162" s="404" t="s">
        <v>642</v>
      </c>
      <c r="B162" s="428"/>
      <c r="C162" s="428"/>
      <c r="D162" s="428"/>
      <c r="E162" s="428"/>
      <c r="F162" s="291">
        <f>F164+F165+F167+F169+F170</f>
        <v>0</v>
      </c>
      <c r="G162" s="292">
        <f t="shared" ref="G162:P162" si="10">G164+G165+G167+G169+G170</f>
        <v>0</v>
      </c>
      <c r="H162" s="292">
        <f t="shared" si="10"/>
        <v>0</v>
      </c>
      <c r="I162" s="292">
        <f t="shared" si="10"/>
        <v>0</v>
      </c>
      <c r="J162" s="292">
        <f t="shared" si="10"/>
        <v>0</v>
      </c>
      <c r="K162" s="292">
        <f t="shared" si="10"/>
        <v>4804840872.6364155</v>
      </c>
      <c r="L162" s="292">
        <f t="shared" si="10"/>
        <v>0</v>
      </c>
      <c r="M162" s="292">
        <f t="shared" si="10"/>
        <v>0</v>
      </c>
      <c r="N162" s="292">
        <f t="shared" si="10"/>
        <v>0</v>
      </c>
      <c r="O162" s="292">
        <f t="shared" si="10"/>
        <v>0</v>
      </c>
      <c r="P162" s="292">
        <f t="shared" si="10"/>
        <v>0</v>
      </c>
      <c r="Q162" s="292">
        <f>Q164+Q165+Q167+Q169+Q170</f>
        <v>0</v>
      </c>
      <c r="R162" s="245"/>
      <c r="S162" s="245"/>
      <c r="T162" s="246"/>
    </row>
    <row r="163" spans="1:20">
      <c r="A163" s="421" t="s">
        <v>631</v>
      </c>
      <c r="B163" s="422"/>
      <c r="C163" s="422"/>
      <c r="D163" s="423"/>
      <c r="E163" s="424">
        <f>D164+D167+D169</f>
        <v>4804840872.6364155</v>
      </c>
      <c r="F163" s="390"/>
      <c r="G163" s="391"/>
      <c r="H163" s="391"/>
      <c r="I163" s="391"/>
      <c r="J163" s="391"/>
      <c r="K163" s="391"/>
      <c r="L163" s="391"/>
      <c r="M163" s="391"/>
      <c r="N163" s="391"/>
      <c r="O163" s="392"/>
      <c r="P163" s="392"/>
      <c r="Q163" s="392"/>
      <c r="R163" s="392"/>
      <c r="S163" s="392"/>
      <c r="T163" s="429">
        <f>S164+S167+S169</f>
        <v>4804840872.6364155</v>
      </c>
    </row>
    <row r="164" spans="1:20" ht="50.25" customHeight="1">
      <c r="A164" s="344" t="str">
        <f>DESARROLLOGESTIÓNSOSTENIBILIDAD!B5</f>
        <v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v>
      </c>
      <c r="B164" s="213" t="str">
        <f>DESARROLLOGESTIÓNSOSTENIBILIDAD!D5</f>
        <v xml:space="preserve">ALTA
(84%)
</v>
      </c>
      <c r="C164" s="141">
        <f>DESARROLLOGESTIÓNSOSTENIBILIDAD!AA5</f>
        <v>0</v>
      </c>
      <c r="D164" s="416">
        <f>SUM(C164:C165)</f>
        <v>0</v>
      </c>
      <c r="E164" s="425"/>
      <c r="F164" s="296"/>
      <c r="G164" s="297"/>
      <c r="H164" s="297"/>
      <c r="I164" s="297"/>
      <c r="J164" s="297"/>
      <c r="K164" s="297"/>
      <c r="L164" s="297"/>
      <c r="M164" s="297"/>
      <c r="N164" s="297"/>
      <c r="O164" s="282"/>
      <c r="P164" s="282"/>
      <c r="Q164" s="282">
        <f>C164</f>
        <v>0</v>
      </c>
      <c r="R164" s="282">
        <f>SUM(F164:Q164)</f>
        <v>0</v>
      </c>
      <c r="S164" s="399">
        <f>SUM(R164:R165)</f>
        <v>0</v>
      </c>
      <c r="T164" s="430"/>
    </row>
    <row r="165" spans="1:20" ht="36" customHeight="1">
      <c r="A165" s="344" t="str">
        <f>DESARROLLOGESTIÓNSOSTENIBILIDAD!B10</f>
        <v>Fortalecer fuentes de financiación institucional, diversificación  de los ingresos y racionalización del gasto  con el fin de apoyar procesos académicos y administrativos de calidad.</v>
      </c>
      <c r="B165" s="213" t="str">
        <f>DESARROLLOGESTIÓNSOSTENIBILIDAD!D10</f>
        <v>MEDIA
(77%)</v>
      </c>
      <c r="C165" s="141">
        <f>DESARROLLOGESTIÓNSOSTENIBILIDAD!AA10</f>
        <v>0</v>
      </c>
      <c r="D165" s="399"/>
      <c r="E165" s="425"/>
      <c r="F165" s="233"/>
      <c r="G165" s="288"/>
      <c r="H165" s="288"/>
      <c r="I165" s="288"/>
      <c r="J165" s="288"/>
      <c r="K165" s="288"/>
      <c r="L165" s="288"/>
      <c r="M165" s="288"/>
      <c r="N165" s="288"/>
      <c r="O165" s="283"/>
      <c r="P165" s="283"/>
      <c r="Q165" s="282">
        <f>C165</f>
        <v>0</v>
      </c>
      <c r="R165" s="283">
        <f>SUM(F165:Q165)</f>
        <v>0</v>
      </c>
      <c r="S165" s="393"/>
      <c r="T165" s="430"/>
    </row>
    <row r="166" spans="1:20">
      <c r="A166" s="421" t="s">
        <v>643</v>
      </c>
      <c r="B166" s="422"/>
      <c r="C166" s="422"/>
      <c r="D166" s="423"/>
      <c r="E166" s="425"/>
      <c r="F166" s="390"/>
      <c r="G166" s="391"/>
      <c r="H166" s="391"/>
      <c r="I166" s="391"/>
      <c r="J166" s="391"/>
      <c r="K166" s="391"/>
      <c r="L166" s="391"/>
      <c r="M166" s="391"/>
      <c r="N166" s="391"/>
      <c r="O166" s="392"/>
      <c r="P166" s="392"/>
      <c r="Q166" s="392"/>
      <c r="R166" s="392"/>
      <c r="S166" s="392"/>
      <c r="T166" s="430"/>
    </row>
    <row r="167" spans="1:20" ht="50.25" customHeight="1">
      <c r="A167" s="344" t="str">
        <f>DESARROLLOGESTIÓNSOSTENIBILIDAD!B11</f>
        <v>Implementar el plan de sostenibilidad ambiental con todos los actores de la comunidad Uteísta, de forma que se asuma el reto para fomentar la cultura verde en la institución en procura de lograr espacios amigables con el medio ambiente.</v>
      </c>
      <c r="B167" s="213" t="str">
        <f>DESARROLLOGESTIÓNSOSTENIBILIDAD!D11</f>
        <v>MEDIA
(77%)</v>
      </c>
      <c r="C167" s="141">
        <f>DESARROLLOGESTIÓNSOSTENIBILIDAD!AA11</f>
        <v>165864184.09881598</v>
      </c>
      <c r="D167" s="141">
        <f>C167</f>
        <v>165864184.09881598</v>
      </c>
      <c r="E167" s="425"/>
      <c r="F167" s="233"/>
      <c r="G167" s="288"/>
      <c r="H167" s="288"/>
      <c r="I167" s="288"/>
      <c r="J167" s="288"/>
      <c r="K167" s="288">
        <f>C167</f>
        <v>165864184.09881598</v>
      </c>
      <c r="L167" s="288"/>
      <c r="M167" s="288"/>
      <c r="N167" s="288"/>
      <c r="O167" s="283"/>
      <c r="P167" s="283"/>
      <c r="Q167" s="283"/>
      <c r="R167" s="283">
        <f>SUM(F167:Q167)</f>
        <v>165864184.09881598</v>
      </c>
      <c r="S167" s="283">
        <f>R167</f>
        <v>165864184.09881598</v>
      </c>
      <c r="T167" s="430"/>
    </row>
    <row r="168" spans="1:20">
      <c r="A168" s="421" t="s">
        <v>644</v>
      </c>
      <c r="B168" s="422"/>
      <c r="C168" s="422"/>
      <c r="D168" s="423"/>
      <c r="E168" s="425"/>
      <c r="F168" s="390"/>
      <c r="G168" s="391"/>
      <c r="H168" s="391"/>
      <c r="I168" s="391"/>
      <c r="J168" s="391"/>
      <c r="K168" s="391"/>
      <c r="L168" s="391"/>
      <c r="M168" s="391"/>
      <c r="N168" s="391"/>
      <c r="O168" s="392"/>
      <c r="P168" s="392"/>
      <c r="Q168" s="392"/>
      <c r="R168" s="392"/>
      <c r="S168" s="392"/>
      <c r="T168" s="430"/>
    </row>
    <row r="169" spans="1:20" ht="36.75" customHeight="1">
      <c r="A169" s="344" t="str">
        <f>DESARROLLOGESTIÓNSOSTENIBILIDAD!B14</f>
        <v>Fortalecer el bienestar social  y el desarrollo integral en correspondencia con el modelo de gobernanza UteÍsta, extendida a la comunidad Institucional.</v>
      </c>
      <c r="B169" s="213" t="str">
        <f>DESARROLLOGESTIÓNSOSTENIBILIDAD!D14</f>
        <v>ALTA
(81%)</v>
      </c>
      <c r="C169" s="141">
        <f>DESARROLLOGESTIÓNSOSTENIBILIDAD!AA14</f>
        <v>3949147240.448</v>
      </c>
      <c r="D169" s="393">
        <f>SUM(C169:C170)</f>
        <v>4638976688.5375996</v>
      </c>
      <c r="E169" s="425"/>
      <c r="F169" s="233"/>
      <c r="G169" s="288"/>
      <c r="H169" s="288"/>
      <c r="I169" s="288"/>
      <c r="J169" s="288"/>
      <c r="K169" s="288">
        <f>C169</f>
        <v>3949147240.448</v>
      </c>
      <c r="L169" s="288"/>
      <c r="M169" s="288"/>
      <c r="N169" s="288"/>
      <c r="O169" s="283"/>
      <c r="P169" s="283"/>
      <c r="Q169" s="283"/>
      <c r="R169" s="283">
        <f>SUM(F169:Q169)</f>
        <v>3949147240.448</v>
      </c>
      <c r="S169" s="393">
        <f>SUM(R169:R170)</f>
        <v>4638976688.5375996</v>
      </c>
      <c r="T169" s="430"/>
    </row>
    <row r="170" spans="1:20" ht="36.75" customHeight="1">
      <c r="A170" s="344" t="str">
        <f>DESARROLLOGESTIÓNSOSTENIBILIDAD!B15</f>
        <v>Crear  un programa de responsabilidad social que aporte a la gestión organizacional de la institución y su entorno.</v>
      </c>
      <c r="B170" s="213" t="str">
        <f>DESARROLLOGESTIÓNSOSTENIBILIDAD!D15</f>
        <v>ALTA
(86%)</v>
      </c>
      <c r="C170" s="141">
        <f>DESARROLLOGESTIÓNSOSTENIBILIDAD!AA15</f>
        <v>689829448.08960009</v>
      </c>
      <c r="D170" s="393"/>
      <c r="E170" s="426"/>
      <c r="F170" s="233"/>
      <c r="G170" s="288"/>
      <c r="H170" s="288"/>
      <c r="I170" s="288"/>
      <c r="J170" s="288"/>
      <c r="K170" s="288">
        <f>C170</f>
        <v>689829448.08960009</v>
      </c>
      <c r="L170" s="288"/>
      <c r="M170" s="288"/>
      <c r="N170" s="288"/>
      <c r="O170" s="283"/>
      <c r="P170" s="283"/>
      <c r="Q170" s="283"/>
      <c r="R170" s="283">
        <f>SUM(F170:Q170)</f>
        <v>689829448.08960009</v>
      </c>
      <c r="S170" s="393"/>
      <c r="T170" s="431"/>
    </row>
    <row r="171" spans="1:20" ht="21" customHeight="1">
      <c r="A171" s="226" t="s">
        <v>836</v>
      </c>
      <c r="B171" s="226"/>
      <c r="C171" s="226"/>
      <c r="D171" s="226"/>
      <c r="E171" s="230"/>
      <c r="F171" s="291">
        <f>F173+F174+F176+F177+F178+F179+F180+F182+F183+F185+F186</f>
        <v>2947403068.3136001</v>
      </c>
      <c r="G171" s="292">
        <f t="shared" ref="G171:Q171" si="11">G173+G174+G176+G177+G178+G179+G180+G182+G183+G185+G186</f>
        <v>0</v>
      </c>
      <c r="H171" s="292">
        <f t="shared" si="11"/>
        <v>0</v>
      </c>
      <c r="I171" s="292">
        <f t="shared" si="11"/>
        <v>0</v>
      </c>
      <c r="J171" s="292">
        <f t="shared" si="11"/>
        <v>0</v>
      </c>
      <c r="K171" s="292">
        <f t="shared" si="11"/>
        <v>9253977353.8295803</v>
      </c>
      <c r="L171" s="292">
        <f t="shared" si="11"/>
        <v>0</v>
      </c>
      <c r="M171" s="292">
        <f t="shared" si="11"/>
        <v>0</v>
      </c>
      <c r="N171" s="292">
        <f t="shared" si="11"/>
        <v>0</v>
      </c>
      <c r="O171" s="292">
        <f t="shared" si="11"/>
        <v>0</v>
      </c>
      <c r="P171" s="292">
        <f t="shared" si="11"/>
        <v>0</v>
      </c>
      <c r="Q171" s="292">
        <f t="shared" si="11"/>
        <v>0</v>
      </c>
      <c r="R171" s="245"/>
      <c r="S171" s="245"/>
      <c r="T171" s="247"/>
    </row>
    <row r="172" spans="1:20">
      <c r="A172" s="421" t="s">
        <v>832</v>
      </c>
      <c r="B172" s="422"/>
      <c r="C172" s="422"/>
      <c r="D172" s="423"/>
      <c r="E172" s="427">
        <f>D173+D176+D182+D185</f>
        <v>12201380422.143181</v>
      </c>
      <c r="F172" s="390"/>
      <c r="G172" s="391"/>
      <c r="H172" s="391"/>
      <c r="I172" s="391"/>
      <c r="J172" s="391"/>
      <c r="K172" s="391"/>
      <c r="L172" s="391"/>
      <c r="M172" s="391"/>
      <c r="N172" s="391"/>
      <c r="O172" s="392"/>
      <c r="P172" s="392"/>
      <c r="Q172" s="392"/>
      <c r="R172" s="392"/>
      <c r="S172" s="392"/>
      <c r="T172" s="429">
        <f>S173+S176+S182+S185</f>
        <v>12201380422.143181</v>
      </c>
    </row>
    <row r="173" spans="1:20" ht="33" customHeight="1">
      <c r="A173" s="341" t="str">
        <f>'GESTIÓN INTEGRAL INSTITUCIONAL'!B5</f>
        <v>Sensibilizar a la comunidad Uteísta en temas propios de cada área de gestión que fomenten la cultura de planear, hacer, verificar y actuar en pro del mejoramiento continuo de la institución.</v>
      </c>
      <c r="B173" s="214" t="str">
        <f>'GESTIÓN INTEGRAL INSTITUCIONAL'!D5</f>
        <v>MEDIA
(79%)</v>
      </c>
      <c r="C173" s="141">
        <f>'GESTIÓN INTEGRAL INSTITUCIONAL'!AA5</f>
        <v>0</v>
      </c>
      <c r="D173" s="393">
        <f>SUM(C173:C174)</f>
        <v>164284525.20263678</v>
      </c>
      <c r="E173" s="427"/>
      <c r="F173" s="233"/>
      <c r="G173" s="288"/>
      <c r="H173" s="288"/>
      <c r="I173" s="288"/>
      <c r="J173" s="288"/>
      <c r="K173" s="288"/>
      <c r="L173" s="288"/>
      <c r="M173" s="288"/>
      <c r="N173" s="288"/>
      <c r="O173" s="283"/>
      <c r="P173" s="283"/>
      <c r="Q173" s="283"/>
      <c r="R173" s="283">
        <f>SUM(F173:Q173)</f>
        <v>0</v>
      </c>
      <c r="S173" s="393">
        <f>SUM(R173:R174)</f>
        <v>164284525.20263678</v>
      </c>
      <c r="T173" s="430"/>
    </row>
    <row r="174" spans="1:20" ht="33.75" customHeight="1">
      <c r="A174" s="341" t="str">
        <f>'GESTIÓN INTEGRAL INSTITUCIONAL'!B6</f>
        <v xml:space="preserve">Fomentar el conocimiento, apropiación y sentido de pertenencia de la comunidad Uteísta en los diferentes sistemas integrados de gestión. </v>
      </c>
      <c r="B174" s="214" t="str">
        <f>'GESTIÓN INTEGRAL INSTITUCIONAL'!D6</f>
        <v>BAJA
(54%</v>
      </c>
      <c r="C174" s="141">
        <f>'GESTIÓN INTEGRAL INSTITUCIONAL'!AA6</f>
        <v>164284525.20263678</v>
      </c>
      <c r="D174" s="393"/>
      <c r="E174" s="427"/>
      <c r="F174" s="233"/>
      <c r="G174" s="288"/>
      <c r="H174" s="288"/>
      <c r="I174" s="288"/>
      <c r="J174" s="288"/>
      <c r="K174" s="288">
        <f>C174</f>
        <v>164284525.20263678</v>
      </c>
      <c r="L174" s="288"/>
      <c r="M174" s="288"/>
      <c r="N174" s="288"/>
      <c r="O174" s="283"/>
      <c r="P174" s="283"/>
      <c r="Q174" s="283"/>
      <c r="R174" s="283">
        <f>SUM(F174:Q174)</f>
        <v>164284525.20263678</v>
      </c>
      <c r="S174" s="393"/>
      <c r="T174" s="430"/>
    </row>
    <row r="175" spans="1:20">
      <c r="A175" s="421" t="s">
        <v>833</v>
      </c>
      <c r="B175" s="422"/>
      <c r="C175" s="422"/>
      <c r="D175" s="423"/>
      <c r="E175" s="427"/>
      <c r="F175" s="390"/>
      <c r="G175" s="391"/>
      <c r="H175" s="391"/>
      <c r="I175" s="391"/>
      <c r="J175" s="391"/>
      <c r="K175" s="391"/>
      <c r="L175" s="391"/>
      <c r="M175" s="391"/>
      <c r="N175" s="391"/>
      <c r="O175" s="392"/>
      <c r="P175" s="392"/>
      <c r="Q175" s="392"/>
      <c r="R175" s="392"/>
      <c r="S175" s="392"/>
      <c r="T175" s="430"/>
    </row>
    <row r="176" spans="1:20" ht="34.5" customHeight="1">
      <c r="A176" s="344" t="str">
        <f>'GESTIÓN INTEGRAL INSTITUCIONAL'!B8</f>
        <v>Fortalecimiento  del sistema de gestión de seguridad y salud en el trabajo.</v>
      </c>
      <c r="B176" s="213" t="str">
        <f>'GESTIÓN INTEGRAL INSTITUCIONAL'!D8</f>
        <v>ALTA
(88%)</v>
      </c>
      <c r="C176" s="141">
        <f>'GESTIÓN INTEGRAL INSTITUCIONAL'!AA8</f>
        <v>3244483495.5264006</v>
      </c>
      <c r="D176" s="393">
        <f>SUM(C176:C180)</f>
        <v>10307437000.761345</v>
      </c>
      <c r="E176" s="427"/>
      <c r="F176" s="233"/>
      <c r="G176" s="288"/>
      <c r="H176" s="288"/>
      <c r="I176" s="288"/>
      <c r="J176" s="288"/>
      <c r="K176" s="288">
        <f>C176</f>
        <v>3244483495.5264006</v>
      </c>
      <c r="L176" s="288"/>
      <c r="M176" s="288"/>
      <c r="N176" s="288"/>
      <c r="O176" s="283"/>
      <c r="P176" s="283"/>
      <c r="Q176" s="283"/>
      <c r="R176" s="283">
        <f>SUM(F176:Q176)</f>
        <v>3244483495.5264006</v>
      </c>
      <c r="S176" s="393">
        <f>SUM(R176:R180)</f>
        <v>10307437000.761345</v>
      </c>
      <c r="T176" s="430"/>
    </row>
    <row r="177" spans="1:20" ht="34.5" customHeight="1">
      <c r="A177" s="344" t="str">
        <f>'GESTIÓN INTEGRAL INSTITUCIONAL'!B11</f>
        <v xml:space="preserve">Certificar y fortalecer el sistema de gestión ambiental. </v>
      </c>
      <c r="B177" s="213" t="str">
        <f>'GESTIÓN INTEGRAL INSTITUCIONAL'!D11</f>
        <v>ALTA
(88%)</v>
      </c>
      <c r="C177" s="141">
        <f>'GESTIÓN INTEGRAL INSTITUCIONAL'!AA11</f>
        <v>106782529.61792</v>
      </c>
      <c r="D177" s="393"/>
      <c r="E177" s="427"/>
      <c r="F177" s="233"/>
      <c r="G177" s="288"/>
      <c r="H177" s="288"/>
      <c r="I177" s="288"/>
      <c r="J177" s="288"/>
      <c r="K177" s="288">
        <f>C177</f>
        <v>106782529.61792</v>
      </c>
      <c r="L177" s="288"/>
      <c r="M177" s="288"/>
      <c r="N177" s="288"/>
      <c r="O177" s="283"/>
      <c r="P177" s="283"/>
      <c r="Q177" s="283"/>
      <c r="R177" s="283">
        <f>SUM(F177:Q177)</f>
        <v>106782529.61792</v>
      </c>
      <c r="S177" s="393"/>
      <c r="T177" s="430"/>
    </row>
    <row r="178" spans="1:20" ht="34.5" customHeight="1">
      <c r="A178" s="342" t="str">
        <f>'GESTIÓN INTEGRAL INSTITUCIONAL'!B14</f>
        <v>Implementar el  programa de gestión documental y el plan institucional de archivo.</v>
      </c>
      <c r="B178" s="212" t="str">
        <f>'GESTIÓN INTEGRAL INSTITUCIONAL'!D14</f>
        <v>ALTA
(93%)</v>
      </c>
      <c r="C178" s="332">
        <f>'GESTIÓN INTEGRAL INSTITUCIONAL'!AA14</f>
        <v>5894806136.6272001</v>
      </c>
      <c r="D178" s="393"/>
      <c r="E178" s="427"/>
      <c r="F178" s="330">
        <f>C178/2</f>
        <v>2947403068.3136001</v>
      </c>
      <c r="G178" s="331"/>
      <c r="H178" s="331"/>
      <c r="I178" s="331"/>
      <c r="J178" s="331"/>
      <c r="K178" s="331">
        <f>C178/2</f>
        <v>2947403068.3136001</v>
      </c>
      <c r="L178" s="288"/>
      <c r="M178" s="288"/>
      <c r="N178" s="288"/>
      <c r="O178" s="283"/>
      <c r="P178" s="332"/>
      <c r="Q178" s="283"/>
      <c r="R178" s="283">
        <f>SUM(F178:Q178)</f>
        <v>5894806136.6272001</v>
      </c>
      <c r="S178" s="393"/>
      <c r="T178" s="430"/>
    </row>
    <row r="179" spans="1:20" ht="34.5" customHeight="1">
      <c r="A179" s="341" t="str">
        <f>'GESTIÓN INTEGRAL INSTITUCIONAL'!B18</f>
        <v>Mantener la certificación del sistema de calidad (NTC ISO 9001:2015).</v>
      </c>
      <c r="B179" s="214" t="str">
        <f>'GESTIÓN INTEGRAL INSTITUCIONAL'!D18</f>
        <v>MEDIA
(78%)</v>
      </c>
      <c r="C179" s="141">
        <f>'GESTIÓN INTEGRAL INSTITUCIONAL'!AA18</f>
        <v>45016118.804480001</v>
      </c>
      <c r="D179" s="393"/>
      <c r="E179" s="427"/>
      <c r="F179" s="233"/>
      <c r="G179" s="288"/>
      <c r="H179" s="288"/>
      <c r="I179" s="288"/>
      <c r="J179" s="288"/>
      <c r="K179" s="288">
        <f>C179</f>
        <v>45016118.804480001</v>
      </c>
      <c r="L179" s="288"/>
      <c r="M179" s="288"/>
      <c r="N179" s="288"/>
      <c r="O179" s="283"/>
      <c r="P179" s="283"/>
      <c r="Q179" s="283"/>
      <c r="R179" s="283">
        <f>SUM(F179:Q179)</f>
        <v>45016118.804480001</v>
      </c>
      <c r="S179" s="393"/>
      <c r="T179" s="430"/>
    </row>
    <row r="180" spans="1:20" ht="34.5" customHeight="1">
      <c r="A180" s="344" t="str">
        <f>'GESTIÓN INTEGRAL INSTITUCIONAL'!B20</f>
        <v>Iniciar un programa de acreditación de pruebas de laboratorios para ofrecer servicios a los gremios y sectores empresariales.</v>
      </c>
      <c r="B180" s="213" t="str">
        <f>'GESTIÓN INTEGRAL INSTITUCIONAL'!D20</f>
        <v>ALTA
(90%)</v>
      </c>
      <c r="C180" s="141">
        <f>'GESTIÓN INTEGRAL INSTITUCIONAL'!AA20</f>
        <v>1016348720.185344</v>
      </c>
      <c r="D180" s="393"/>
      <c r="E180" s="427"/>
      <c r="F180" s="233"/>
      <c r="G180" s="288"/>
      <c r="H180" s="288"/>
      <c r="I180" s="288"/>
      <c r="J180" s="288"/>
      <c r="K180" s="288">
        <f>C180</f>
        <v>1016348720.185344</v>
      </c>
      <c r="L180" s="288"/>
      <c r="M180" s="288"/>
      <c r="N180" s="288"/>
      <c r="O180" s="283"/>
      <c r="P180" s="283"/>
      <c r="Q180" s="283"/>
      <c r="R180" s="283">
        <f>SUM(F180:Q180)</f>
        <v>1016348720.185344</v>
      </c>
      <c r="S180" s="393"/>
      <c r="T180" s="430"/>
    </row>
    <row r="181" spans="1:20">
      <c r="A181" s="421" t="s">
        <v>834</v>
      </c>
      <c r="B181" s="422"/>
      <c r="C181" s="422"/>
      <c r="D181" s="423"/>
      <c r="E181" s="427"/>
      <c r="F181" s="390"/>
      <c r="G181" s="391"/>
      <c r="H181" s="391"/>
      <c r="I181" s="391"/>
      <c r="J181" s="391"/>
      <c r="K181" s="391"/>
      <c r="L181" s="391"/>
      <c r="M181" s="391"/>
      <c r="N181" s="391"/>
      <c r="O181" s="392"/>
      <c r="P181" s="392"/>
      <c r="Q181" s="392"/>
      <c r="R181" s="392"/>
      <c r="S181" s="392"/>
      <c r="T181" s="430"/>
    </row>
    <row r="182" spans="1:20" ht="36" customHeight="1">
      <c r="A182" s="344" t="str">
        <f>'GESTIÓN INTEGRAL INSTITUCIONAL'!B22</f>
        <v>Actualizar de forma continua y articulada los indicadores de gestión de los procesos institucionales para la toma de decisiones y rendición de cuentas.</v>
      </c>
      <c r="B182" s="213" t="str">
        <f>'GESTIÓN INTEGRAL INSTITUCIONAL'!D22</f>
        <v>ALTA
(90%)</v>
      </c>
      <c r="C182" s="141">
        <f>'GESTIÓN INTEGRAL INSTITUCIONAL'!AA22</f>
        <v>0</v>
      </c>
      <c r="D182" s="393">
        <f>SUM(C182:C183)</f>
        <v>1579658896.1792002</v>
      </c>
      <c r="E182" s="427"/>
      <c r="F182" s="233"/>
      <c r="G182" s="288"/>
      <c r="H182" s="288"/>
      <c r="I182" s="288"/>
      <c r="J182" s="288"/>
      <c r="K182" s="288"/>
      <c r="L182" s="288"/>
      <c r="M182" s="288"/>
      <c r="N182" s="288"/>
      <c r="O182" s="283"/>
      <c r="P182" s="283"/>
      <c r="Q182" s="283"/>
      <c r="R182" s="283">
        <f>SUM(F182:Q182)</f>
        <v>0</v>
      </c>
      <c r="S182" s="393">
        <f>SUM(R182:R183)</f>
        <v>1579658896.1792002</v>
      </c>
      <c r="T182" s="430"/>
    </row>
    <row r="183" spans="1:20" ht="46.5" customHeight="1">
      <c r="A183" s="344" t="str">
        <f>'GESTIÓN INTEGRAL INSTITUCIONAL'!B23</f>
        <v>Fortalecer los sistemas de información institucional para la planeación, monitoreo, evaluación de actividades y toma de decisiones, de forma que se articulen con los sistemas nacionales de información de la educación superior y demás entes correspondientes.</v>
      </c>
      <c r="B183" s="213" t="str">
        <f>'GESTIÓN INTEGRAL INSTITUCIONAL'!D23</f>
        <v>ALTA
(95%)</v>
      </c>
      <c r="C183" s="141">
        <f>'GESTIÓN INTEGRAL INSTITUCIONAL'!AA23</f>
        <v>1579658896.1792002</v>
      </c>
      <c r="D183" s="393"/>
      <c r="E183" s="427"/>
      <c r="F183" s="233"/>
      <c r="G183" s="288"/>
      <c r="H183" s="288"/>
      <c r="I183" s="288"/>
      <c r="J183" s="288"/>
      <c r="K183" s="288">
        <f>C183</f>
        <v>1579658896.1792002</v>
      </c>
      <c r="L183" s="288"/>
      <c r="M183" s="288"/>
      <c r="N183" s="288"/>
      <c r="O183" s="283"/>
      <c r="P183" s="283"/>
      <c r="Q183" s="283"/>
      <c r="R183" s="283">
        <f>SUM(F183:Q183)</f>
        <v>1579658896.1792002</v>
      </c>
      <c r="S183" s="393"/>
      <c r="T183" s="430"/>
    </row>
    <row r="184" spans="1:20">
      <c r="A184" s="421" t="s">
        <v>835</v>
      </c>
      <c r="B184" s="422"/>
      <c r="C184" s="422"/>
      <c r="D184" s="423"/>
      <c r="E184" s="427"/>
      <c r="F184" s="390"/>
      <c r="G184" s="391"/>
      <c r="H184" s="391"/>
      <c r="I184" s="391"/>
      <c r="J184" s="391"/>
      <c r="K184" s="391"/>
      <c r="L184" s="391"/>
      <c r="M184" s="391"/>
      <c r="N184" s="391"/>
      <c r="O184" s="392"/>
      <c r="P184" s="392"/>
      <c r="Q184" s="392"/>
      <c r="R184" s="392"/>
      <c r="S184" s="392"/>
      <c r="T184" s="430"/>
    </row>
    <row r="185" spans="1:20" ht="39" customHeight="1">
      <c r="A185" s="342" t="str">
        <f>'GESTIÓN INTEGRAL INSTITUCIONAL'!B26</f>
        <v>Fortalecer instrumentos y procedimientos de medición y evaluación de  resultados de  los procesos misionales y administrativos.</v>
      </c>
      <c r="B185" s="212" t="str">
        <f>'GESTIÓN INTEGRAL INSTITUCIONAL'!D26</f>
        <v>ALTA
(95%)</v>
      </c>
      <c r="C185" s="141">
        <f>'GESTIÓN INTEGRAL INSTITUCIONAL'!AA26</f>
        <v>150000000</v>
      </c>
      <c r="D185" s="393">
        <f>SUM(C185:C186)</f>
        <v>150000000</v>
      </c>
      <c r="E185" s="427"/>
      <c r="F185" s="233"/>
      <c r="G185" s="288"/>
      <c r="H185" s="288"/>
      <c r="I185" s="288"/>
      <c r="J185" s="288"/>
      <c r="K185" s="288">
        <f>C185</f>
        <v>150000000</v>
      </c>
      <c r="L185" s="288"/>
      <c r="M185" s="288"/>
      <c r="N185" s="288"/>
      <c r="O185" s="283"/>
      <c r="P185" s="283"/>
      <c r="Q185" s="283"/>
      <c r="R185" s="283">
        <f>SUM(F185:Q185)</f>
        <v>150000000</v>
      </c>
      <c r="S185" s="393">
        <f>SUM(R185:R186)</f>
        <v>150000000</v>
      </c>
      <c r="T185" s="430"/>
    </row>
    <row r="186" spans="1:20" ht="46.5" customHeight="1" thickBot="1">
      <c r="A186" s="342" t="str">
        <f>'GESTIÓN INTEGRAL INSTITUCIONAL'!B27</f>
        <v>Generar informes de resultados cualitativos y cuantitativos que permitan realizar análisis en términos de calidad y mejora continua, en consonancia con los lineamientos aplicados para las instituciones de educación superior.</v>
      </c>
      <c r="B186" s="212" t="str">
        <f>'GESTIÓN INTEGRAL INSTITUCIONAL'!D27</f>
        <v>ALTA
(85%)</v>
      </c>
      <c r="C186" s="141">
        <f>'GESTIÓN INTEGRAL INSTITUCIONAL'!AA27</f>
        <v>0</v>
      </c>
      <c r="D186" s="393"/>
      <c r="E186" s="427"/>
      <c r="F186" s="298"/>
      <c r="G186" s="299"/>
      <c r="H186" s="299"/>
      <c r="I186" s="299"/>
      <c r="J186" s="299"/>
      <c r="K186" s="299"/>
      <c r="L186" s="299"/>
      <c r="M186" s="299"/>
      <c r="N186" s="299"/>
      <c r="O186" s="285"/>
      <c r="P186" s="285"/>
      <c r="Q186" s="285"/>
      <c r="R186" s="285">
        <f>SUM(F186:Q186)</f>
        <v>0</v>
      </c>
      <c r="S186" s="398"/>
      <c r="T186" s="437"/>
    </row>
  </sheetData>
  <sheetProtection algorithmName="SHA-512" hashValue="VNG9DaJUofIokWJ+LvnEAUqbKpjMlP31xST2qQhtL6O5Ucag71SMBtjzKAsdr5r/UTdsb2JuHAylq60qyGc48Q==" saltValue="d+YU5EgA/rV/y/XO5JxYIg==" spinCount="100000" sheet="1" objects="1" scenarios="1"/>
  <mergeCells count="229">
    <mergeCell ref="A80:D80"/>
    <mergeCell ref="A83:D83"/>
    <mergeCell ref="A88:D88"/>
    <mergeCell ref="A93:D93"/>
    <mergeCell ref="A98:D98"/>
    <mergeCell ref="A104:D104"/>
    <mergeCell ref="A106:D106"/>
    <mergeCell ref="A109:D109"/>
    <mergeCell ref="A115:D115"/>
    <mergeCell ref="T163:T170"/>
    <mergeCell ref="T172:T186"/>
    <mergeCell ref="F148:S148"/>
    <mergeCell ref="A6:D6"/>
    <mergeCell ref="A9:D9"/>
    <mergeCell ref="A13:D13"/>
    <mergeCell ref="A16:D16"/>
    <mergeCell ref="A19:D19"/>
    <mergeCell ref="A22:D22"/>
    <mergeCell ref="A25:D25"/>
    <mergeCell ref="A28:D28"/>
    <mergeCell ref="A33:D33"/>
    <mergeCell ref="A39:D39"/>
    <mergeCell ref="A43:D43"/>
    <mergeCell ref="A46:D46"/>
    <mergeCell ref="A49:D49"/>
    <mergeCell ref="A52:D52"/>
    <mergeCell ref="A55:D55"/>
    <mergeCell ref="A61:D61"/>
    <mergeCell ref="A63:D63"/>
    <mergeCell ref="A67:D67"/>
    <mergeCell ref="A69:D69"/>
    <mergeCell ref="A73:D73"/>
    <mergeCell ref="T28:T41"/>
    <mergeCell ref="T43:T65"/>
    <mergeCell ref="F75:T75"/>
    <mergeCell ref="T77:T96"/>
    <mergeCell ref="F102:T102"/>
    <mergeCell ref="F113:T113"/>
    <mergeCell ref="F142:T142"/>
    <mergeCell ref="F161:T161"/>
    <mergeCell ref="T67:T74"/>
    <mergeCell ref="T98:T101"/>
    <mergeCell ref="T104:T112"/>
    <mergeCell ref="T115:T131"/>
    <mergeCell ref="T133:T141"/>
    <mergeCell ref="T144:T160"/>
    <mergeCell ref="F154:S154"/>
    <mergeCell ref="F156:S156"/>
    <mergeCell ref="F159:S159"/>
    <mergeCell ref="S149:S153"/>
    <mergeCell ref="S157:S158"/>
    <mergeCell ref="F63:S63"/>
    <mergeCell ref="F67:S67"/>
    <mergeCell ref="S64:S65"/>
    <mergeCell ref="F80:S80"/>
    <mergeCell ref="F83:S83"/>
    <mergeCell ref="S129:S131"/>
    <mergeCell ref="E172:E186"/>
    <mergeCell ref="D173:D174"/>
    <mergeCell ref="D176:D180"/>
    <mergeCell ref="D182:D183"/>
    <mergeCell ref="D185:D186"/>
    <mergeCell ref="D149:D153"/>
    <mergeCell ref="E144:E160"/>
    <mergeCell ref="A144:D144"/>
    <mergeCell ref="A148:D148"/>
    <mergeCell ref="A154:D154"/>
    <mergeCell ref="A156:D156"/>
    <mergeCell ref="A159:D159"/>
    <mergeCell ref="A163:D163"/>
    <mergeCell ref="A166:D166"/>
    <mergeCell ref="A168:D168"/>
    <mergeCell ref="A172:D172"/>
    <mergeCell ref="A175:D175"/>
    <mergeCell ref="A181:D181"/>
    <mergeCell ref="A184:D184"/>
    <mergeCell ref="A162:E162"/>
    <mergeCell ref="E163:E170"/>
    <mergeCell ref="D164:D165"/>
    <mergeCell ref="D169:D170"/>
    <mergeCell ref="D157:D158"/>
    <mergeCell ref="E104:E112"/>
    <mergeCell ref="D107:D108"/>
    <mergeCell ref="D110:D112"/>
    <mergeCell ref="A113:E113"/>
    <mergeCell ref="A114:E114"/>
    <mergeCell ref="A118:D118"/>
    <mergeCell ref="A121:D121"/>
    <mergeCell ref="A125:D125"/>
    <mergeCell ref="A128:D128"/>
    <mergeCell ref="A133:D133"/>
    <mergeCell ref="A136:D136"/>
    <mergeCell ref="A140:D140"/>
    <mergeCell ref="A143:E143"/>
    <mergeCell ref="D145:D147"/>
    <mergeCell ref="D129:D131"/>
    <mergeCell ref="A132:E132"/>
    <mergeCell ref="E133:E141"/>
    <mergeCell ref="D134:D135"/>
    <mergeCell ref="D137:D139"/>
    <mergeCell ref="A142:E142"/>
    <mergeCell ref="E115:E131"/>
    <mergeCell ref="D116:D117"/>
    <mergeCell ref="D119:D120"/>
    <mergeCell ref="D122:D124"/>
    <mergeCell ref="D126:D127"/>
    <mergeCell ref="E43:E65"/>
    <mergeCell ref="D44:D45"/>
    <mergeCell ref="D47:D48"/>
    <mergeCell ref="D50:D51"/>
    <mergeCell ref="D53:D54"/>
    <mergeCell ref="D56:D60"/>
    <mergeCell ref="D64:D65"/>
    <mergeCell ref="A103:E103"/>
    <mergeCell ref="A66:E66"/>
    <mergeCell ref="E67:E74"/>
    <mergeCell ref="D70:D72"/>
    <mergeCell ref="A75:E75"/>
    <mergeCell ref="A76:E76"/>
    <mergeCell ref="E77:E96"/>
    <mergeCell ref="D78:D79"/>
    <mergeCell ref="D81:D82"/>
    <mergeCell ref="D84:D87"/>
    <mergeCell ref="D89:D92"/>
    <mergeCell ref="D94:D96"/>
    <mergeCell ref="A97:E97"/>
    <mergeCell ref="E98:E101"/>
    <mergeCell ref="D99:D101"/>
    <mergeCell ref="A102:E102"/>
    <mergeCell ref="A77:D77"/>
    <mergeCell ref="F6:S6"/>
    <mergeCell ref="F9:S9"/>
    <mergeCell ref="S7:S8"/>
    <mergeCell ref="A42:E42"/>
    <mergeCell ref="A1:E1"/>
    <mergeCell ref="A4:E4"/>
    <mergeCell ref="A5:E5"/>
    <mergeCell ref="E6:E26"/>
    <mergeCell ref="D7:D8"/>
    <mergeCell ref="D10:D12"/>
    <mergeCell ref="D20:D21"/>
    <mergeCell ref="D23:D24"/>
    <mergeCell ref="C2:E2"/>
    <mergeCell ref="B2:B3"/>
    <mergeCell ref="A2:A3"/>
    <mergeCell ref="A27:E27"/>
    <mergeCell ref="E28:E41"/>
    <mergeCell ref="D29:D32"/>
    <mergeCell ref="D34:D38"/>
    <mergeCell ref="D40:D41"/>
    <mergeCell ref="D14:D15"/>
    <mergeCell ref="D17:D18"/>
    <mergeCell ref="S10:S12"/>
    <mergeCell ref="F28:S28"/>
    <mergeCell ref="F33:S33"/>
    <mergeCell ref="F39:S39"/>
    <mergeCell ref="F13:S13"/>
    <mergeCell ref="F16:S16"/>
    <mergeCell ref="F19:S19"/>
    <mergeCell ref="F22:S22"/>
    <mergeCell ref="F25:S25"/>
    <mergeCell ref="F55:S55"/>
    <mergeCell ref="F61:S61"/>
    <mergeCell ref="F43:S43"/>
    <mergeCell ref="F46:S46"/>
    <mergeCell ref="F49:S49"/>
    <mergeCell ref="F52:S52"/>
    <mergeCell ref="S34:S38"/>
    <mergeCell ref="S40:S41"/>
    <mergeCell ref="S44:S45"/>
    <mergeCell ref="S47:S48"/>
    <mergeCell ref="S50:S51"/>
    <mergeCell ref="S53:S54"/>
    <mergeCell ref="S56:S60"/>
    <mergeCell ref="F93:S93"/>
    <mergeCell ref="F69:S69"/>
    <mergeCell ref="F73:S73"/>
    <mergeCell ref="F77:S77"/>
    <mergeCell ref="S70:S72"/>
    <mergeCell ref="F115:S115"/>
    <mergeCell ref="F118:S118"/>
    <mergeCell ref="F98:S98"/>
    <mergeCell ref="F104:S104"/>
    <mergeCell ref="F106:S106"/>
    <mergeCell ref="S99:S101"/>
    <mergeCell ref="F109:S109"/>
    <mergeCell ref="S173:S174"/>
    <mergeCell ref="S176:S180"/>
    <mergeCell ref="S182:S183"/>
    <mergeCell ref="S185:S186"/>
    <mergeCell ref="S134:S135"/>
    <mergeCell ref="S137:S139"/>
    <mergeCell ref="S164:S165"/>
    <mergeCell ref="S169:S170"/>
    <mergeCell ref="S145:S147"/>
    <mergeCell ref="F172:S172"/>
    <mergeCell ref="F175:S175"/>
    <mergeCell ref="F181:S181"/>
    <mergeCell ref="F184:S184"/>
    <mergeCell ref="F166:S166"/>
    <mergeCell ref="F168:S168"/>
    <mergeCell ref="F144:S144"/>
    <mergeCell ref="F136:S136"/>
    <mergeCell ref="F140:S140"/>
    <mergeCell ref="F163:S163"/>
    <mergeCell ref="F125:S125"/>
    <mergeCell ref="F128:S128"/>
    <mergeCell ref="F133:S133"/>
    <mergeCell ref="S126:S127"/>
    <mergeCell ref="T6:T26"/>
    <mergeCell ref="F4:T4"/>
    <mergeCell ref="F2:T2"/>
    <mergeCell ref="S107:S108"/>
    <mergeCell ref="S110:S112"/>
    <mergeCell ref="S116:S117"/>
    <mergeCell ref="S119:S120"/>
    <mergeCell ref="S122:S124"/>
    <mergeCell ref="S78:S79"/>
    <mergeCell ref="S81:S82"/>
    <mergeCell ref="S84:S87"/>
    <mergeCell ref="S89:S92"/>
    <mergeCell ref="S94:S96"/>
    <mergeCell ref="S14:S15"/>
    <mergeCell ref="S17:S18"/>
    <mergeCell ref="S20:S21"/>
    <mergeCell ref="S23:S24"/>
    <mergeCell ref="S29:S32"/>
    <mergeCell ref="F121:S121"/>
    <mergeCell ref="F88:S88"/>
  </mergeCells>
  <pageMargins left="0.7" right="0.7" top="0.75" bottom="0.75" header="0.3" footer="0.3"/>
  <pageSetup orientation="portrait" horizontalDpi="0" verticalDpi="0" r:id="rId1"/>
  <ignoredErrors>
    <ignoredError sqref="D7 C174 D173:D174 E163 E172 D186 C23:D23 E6 C8 C59 D56 C62:D62 C64:D64 E43 C68:D68 C71:D72 B79:D79 D78 C90:D92 E77 C110:D112 E104 C116:D116 E115 B123:D124 C122:D122 C126:D126 C129:D131 C141:D141 E133 D167 D170 D169 C180 C177:C178 C183 D183 D185 E67 C160:D160 E144 D176:D180 D182 Q7:S8 R23:S24 Q62:S62 Q64:S65 R59 S56 K67:S67 L72:O72 K71:P71 R71:S71 L89 R89:S92 T77 O129 R116:S116 R122:S124 R126:S127 R129:S131 T115 T67 T43 T6 K160 R160:S160 D89 D65 D70 D127 F71:H72 F67:H70 K69:S69 L68:P68 R68:S68 L70:O70 Q70:S70 Q72:S72 R66:S66 C117:D117 R117:S117" evalError="1"/>
    <ignoredError sqref="K178 K1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3"/>
  <sheetViews>
    <sheetView zoomScale="80" zoomScaleNormal="80" zoomScalePageLayoutView="40" workbookViewId="0">
      <selection sqref="A1:P1"/>
    </sheetView>
  </sheetViews>
  <sheetFormatPr baseColWidth="10" defaultColWidth="11" defaultRowHeight="15.75"/>
  <cols>
    <col min="1" max="1" width="28.125" customWidth="1"/>
    <col min="2" max="2" width="52.875" customWidth="1"/>
    <col min="3" max="3" width="25.875" customWidth="1"/>
    <col min="4" max="4" width="11" customWidth="1"/>
    <col min="5" max="5" width="13.5" customWidth="1"/>
    <col min="6" max="6" width="31.125" customWidth="1"/>
    <col min="7" max="7" width="14.875" customWidth="1"/>
    <col min="8" max="8" width="19.5" customWidth="1"/>
    <col min="9" max="9" width="18.625" bestFit="1" customWidth="1"/>
    <col min="10" max="12" width="10.125" customWidth="1"/>
    <col min="13" max="16" width="7.875" bestFit="1"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c r="T1" s="254"/>
      <c r="U1" s="255"/>
      <c r="V1" s="255"/>
      <c r="W1" s="255"/>
      <c r="X1" s="255"/>
      <c r="Y1" s="255"/>
    </row>
    <row r="2" spans="1:28" ht="16.5" thickBot="1">
      <c r="A2" s="464"/>
      <c r="B2" s="464"/>
      <c r="C2" s="464"/>
      <c r="D2" s="464"/>
      <c r="E2" s="464"/>
      <c r="F2" s="464"/>
      <c r="G2" s="464"/>
      <c r="H2" s="464"/>
      <c r="I2" s="464"/>
      <c r="J2" s="464"/>
      <c r="K2" s="464"/>
      <c r="L2" s="464"/>
      <c r="M2" s="464"/>
      <c r="N2" s="464"/>
      <c r="O2" s="464"/>
      <c r="P2" s="465"/>
      <c r="R2" s="324">
        <f>R5+1</f>
        <v>1.04</v>
      </c>
      <c r="T2" s="248"/>
      <c r="U2" s="248"/>
      <c r="V2" s="248"/>
      <c r="W2" s="248"/>
      <c r="X2" s="248"/>
      <c r="Y2" s="248"/>
    </row>
    <row r="3" spans="1:28"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491"/>
      <c r="Z3" s="489" t="s">
        <v>573</v>
      </c>
      <c r="AA3" s="492" t="s">
        <v>574</v>
      </c>
      <c r="AB3" s="482" t="s">
        <v>634</v>
      </c>
    </row>
    <row r="4" spans="1:28" ht="22.5" customHeight="1" thickBot="1">
      <c r="A4" s="479"/>
      <c r="B4" s="473"/>
      <c r="C4" s="473"/>
      <c r="D4" s="473"/>
      <c r="E4" s="472"/>
      <c r="F4" s="472"/>
      <c r="G4" s="473"/>
      <c r="H4" s="473"/>
      <c r="I4" s="472"/>
      <c r="J4" s="1">
        <v>2021</v>
      </c>
      <c r="K4" s="1">
        <v>2022</v>
      </c>
      <c r="L4" s="1">
        <v>2023</v>
      </c>
      <c r="M4" s="1">
        <v>2024</v>
      </c>
      <c r="N4" s="1">
        <v>2025</v>
      </c>
      <c r="O4" s="1">
        <v>2026</v>
      </c>
      <c r="P4" s="1">
        <v>2027</v>
      </c>
      <c r="Q4" s="488"/>
      <c r="R4" s="490"/>
      <c r="S4" s="257">
        <v>2021</v>
      </c>
      <c r="T4" s="257">
        <v>2022</v>
      </c>
      <c r="U4" s="257">
        <v>2023</v>
      </c>
      <c r="V4" s="257">
        <v>2024</v>
      </c>
      <c r="W4" s="257">
        <v>2025</v>
      </c>
      <c r="X4" s="257">
        <v>2026</v>
      </c>
      <c r="Y4" s="257">
        <v>2027</v>
      </c>
      <c r="Z4" s="490"/>
      <c r="AA4" s="493"/>
      <c r="AB4" s="483"/>
    </row>
    <row r="5" spans="1:28" s="85" customFormat="1" ht="62.25" customHeight="1">
      <c r="A5" s="446" t="s">
        <v>29</v>
      </c>
      <c r="B5" s="476" t="s">
        <v>30</v>
      </c>
      <c r="C5" s="448" t="s">
        <v>744</v>
      </c>
      <c r="D5" s="448" t="s">
        <v>556</v>
      </c>
      <c r="E5" s="448" t="s">
        <v>32</v>
      </c>
      <c r="F5" s="346" t="s">
        <v>33</v>
      </c>
      <c r="G5" s="89" t="s">
        <v>34</v>
      </c>
      <c r="H5" s="89" t="s">
        <v>35</v>
      </c>
      <c r="I5" s="17">
        <v>0.1</v>
      </c>
      <c r="J5" s="6">
        <v>0.2</v>
      </c>
      <c r="K5" s="6">
        <v>0.3</v>
      </c>
      <c r="L5" s="6">
        <v>0.35</v>
      </c>
      <c r="M5" s="6">
        <v>0.4</v>
      </c>
      <c r="N5" s="6">
        <v>0.45</v>
      </c>
      <c r="O5" s="6">
        <v>0.5</v>
      </c>
      <c r="P5" s="151">
        <v>0.5</v>
      </c>
      <c r="Q5" s="135">
        <v>50000000</v>
      </c>
      <c r="R5" s="136">
        <v>0.04</v>
      </c>
      <c r="S5" s="256">
        <f t="shared" ref="S5:S31" si="0">IF(J5&lt;&gt;0,Q5,0)</f>
        <v>50000000</v>
      </c>
      <c r="T5" s="256">
        <f t="shared" ref="T5:T31" si="1">IF(K5&lt;&gt;0,(IF(S5&lt;&gt;0,(S5*$R$2),($Q5*$R$2))),0)</f>
        <v>52000000</v>
      </c>
      <c r="U5" s="256">
        <f t="shared" ref="U5:U31" si="2">IF(L5&lt;&gt;0,(IF(T5&lt;&gt;0,(T5*$R$2),(($Q5*$R$2)*$R$2))),0)</f>
        <v>54080000</v>
      </c>
      <c r="V5" s="256">
        <f t="shared" ref="V5:V31" si="3">IF(M5&lt;&gt;0,(IF(U5&lt;&gt;0,(U5*$R$2),(($Q5*$R$2)*$R$2*$R$2))),0)</f>
        <v>56243200</v>
      </c>
      <c r="W5" s="256">
        <f t="shared" ref="W5:W31" si="4">IF(N5&lt;&gt;0,(IF(V5&lt;&gt;0,(V5*$R$2),(($Q5*$R$2)*$R$2*$R$2*$R$2))),0)</f>
        <v>58492928</v>
      </c>
      <c r="X5" s="256">
        <f t="shared" ref="X5:X31" si="5">IF(O5&lt;&gt;0,(IF(W5&lt;&gt;0,(W5*$R$2),(($Q5*$R$2)*$R$2*$R$2*$R$2*$R$2))),0)</f>
        <v>60832645.120000005</v>
      </c>
      <c r="Y5" s="256">
        <f t="shared" ref="Y5:Y31" si="6">IF(P5&lt;&gt;0,(IF(X5&lt;&gt;0,(X5*$R$2),(($Q5*$R$2)*$R$2*$R$2*$R$2*$R$2*$R$2))),0)</f>
        <v>63265950.924800009</v>
      </c>
      <c r="Z5" s="137">
        <f>SUM(S5:Y5)</f>
        <v>394914724.04480004</v>
      </c>
      <c r="AA5" s="445">
        <f>SUM(Z5:Z6)</f>
        <v>789829448.08960009</v>
      </c>
      <c r="AB5" s="484" t="s">
        <v>672</v>
      </c>
    </row>
    <row r="6" spans="1:28" s="85" customFormat="1" ht="62.25" customHeight="1">
      <c r="A6" s="453"/>
      <c r="B6" s="477"/>
      <c r="C6" s="449"/>
      <c r="D6" s="449"/>
      <c r="E6" s="449"/>
      <c r="F6" s="342" t="s">
        <v>36</v>
      </c>
      <c r="G6" s="90" t="s">
        <v>34</v>
      </c>
      <c r="H6" s="90" t="s">
        <v>35</v>
      </c>
      <c r="I6" s="30">
        <v>0.15</v>
      </c>
      <c r="J6" s="18">
        <v>0.2</v>
      </c>
      <c r="K6" s="18">
        <v>0.3</v>
      </c>
      <c r="L6" s="18">
        <v>0.35</v>
      </c>
      <c r="M6" s="18">
        <v>0.4</v>
      </c>
      <c r="N6" s="18">
        <v>0.45</v>
      </c>
      <c r="O6" s="18">
        <v>0.5</v>
      </c>
      <c r="P6" s="153">
        <v>0.5</v>
      </c>
      <c r="Q6" s="138">
        <v>50000000</v>
      </c>
      <c r="R6" s="139">
        <v>0.04</v>
      </c>
      <c r="S6" s="140">
        <f t="shared" si="0"/>
        <v>50000000</v>
      </c>
      <c r="T6" s="140">
        <f t="shared" si="1"/>
        <v>52000000</v>
      </c>
      <c r="U6" s="140">
        <f t="shared" si="2"/>
        <v>54080000</v>
      </c>
      <c r="V6" s="140">
        <f t="shared" si="3"/>
        <v>56243200</v>
      </c>
      <c r="W6" s="140">
        <f t="shared" si="4"/>
        <v>58492928</v>
      </c>
      <c r="X6" s="140">
        <f t="shared" si="5"/>
        <v>60832645.120000005</v>
      </c>
      <c r="Y6" s="140">
        <f t="shared" si="6"/>
        <v>63265950.924800009</v>
      </c>
      <c r="Z6" s="141">
        <f t="shared" ref="Z6:Z15" si="7">SUM(S6:Y6)</f>
        <v>394914724.04480004</v>
      </c>
      <c r="AA6" s="420"/>
      <c r="AB6" s="485"/>
    </row>
    <row r="7" spans="1:28" s="85" customFormat="1" ht="82.5" customHeight="1" thickBot="1">
      <c r="A7" s="447"/>
      <c r="B7" s="345" t="s">
        <v>417</v>
      </c>
      <c r="C7" s="91" t="s">
        <v>450</v>
      </c>
      <c r="D7" s="91" t="s">
        <v>566</v>
      </c>
      <c r="E7" s="91" t="s">
        <v>37</v>
      </c>
      <c r="F7" s="345" t="s">
        <v>38</v>
      </c>
      <c r="G7" s="88" t="s">
        <v>35</v>
      </c>
      <c r="H7" s="88" t="s">
        <v>35</v>
      </c>
      <c r="I7" s="88">
        <v>0</v>
      </c>
      <c r="J7" s="88">
        <v>1</v>
      </c>
      <c r="K7" s="88">
        <v>2</v>
      </c>
      <c r="L7" s="88">
        <v>2</v>
      </c>
      <c r="M7" s="88">
        <v>2</v>
      </c>
      <c r="N7" s="88">
        <v>3</v>
      </c>
      <c r="O7" s="88">
        <v>3</v>
      </c>
      <c r="P7" s="161">
        <v>3</v>
      </c>
      <c r="Q7" s="162">
        <v>0</v>
      </c>
      <c r="R7" s="144">
        <v>0.04</v>
      </c>
      <c r="S7" s="140">
        <f t="shared" si="0"/>
        <v>0</v>
      </c>
      <c r="T7" s="140">
        <f t="shared" si="1"/>
        <v>0</v>
      </c>
      <c r="U7" s="140">
        <f t="shared" si="2"/>
        <v>0</v>
      </c>
      <c r="V7" s="140">
        <f t="shared" si="3"/>
        <v>0</v>
      </c>
      <c r="W7" s="140">
        <f t="shared" si="4"/>
        <v>0</v>
      </c>
      <c r="X7" s="140">
        <f t="shared" si="5"/>
        <v>0</v>
      </c>
      <c r="Y7" s="140">
        <f t="shared" si="6"/>
        <v>0</v>
      </c>
      <c r="Z7" s="145">
        <f t="shared" si="7"/>
        <v>0</v>
      </c>
      <c r="AA7" s="303">
        <f>Z7</f>
        <v>0</v>
      </c>
      <c r="AB7" s="266" t="s">
        <v>673</v>
      </c>
    </row>
    <row r="8" spans="1:28" s="85" customFormat="1" ht="71.25" customHeight="1">
      <c r="A8" s="446" t="s">
        <v>443</v>
      </c>
      <c r="B8" s="346" t="s">
        <v>39</v>
      </c>
      <c r="C8" s="86" t="s">
        <v>745</v>
      </c>
      <c r="D8" s="86" t="s">
        <v>541</v>
      </c>
      <c r="E8" s="86" t="s">
        <v>32</v>
      </c>
      <c r="F8" s="346" t="s">
        <v>444</v>
      </c>
      <c r="G8" s="89" t="s">
        <v>35</v>
      </c>
      <c r="H8" s="89" t="s">
        <v>35</v>
      </c>
      <c r="I8" s="17">
        <v>0.08</v>
      </c>
      <c r="J8" s="6">
        <v>0.1</v>
      </c>
      <c r="K8" s="6">
        <v>0.1</v>
      </c>
      <c r="L8" s="6">
        <v>0.2</v>
      </c>
      <c r="M8" s="6">
        <v>0.2</v>
      </c>
      <c r="N8" s="6">
        <v>0.3</v>
      </c>
      <c r="O8" s="6">
        <v>0.3</v>
      </c>
      <c r="P8" s="151">
        <v>0.4</v>
      </c>
      <c r="Q8" s="150">
        <v>0</v>
      </c>
      <c r="R8" s="136">
        <v>0.04</v>
      </c>
      <c r="S8" s="256">
        <f t="shared" si="0"/>
        <v>0</v>
      </c>
      <c r="T8" s="256">
        <f t="shared" si="1"/>
        <v>0</v>
      </c>
      <c r="U8" s="256">
        <f t="shared" si="2"/>
        <v>0</v>
      </c>
      <c r="V8" s="256">
        <f t="shared" si="3"/>
        <v>0</v>
      </c>
      <c r="W8" s="256">
        <f t="shared" si="4"/>
        <v>0</v>
      </c>
      <c r="X8" s="256">
        <f t="shared" si="5"/>
        <v>0</v>
      </c>
      <c r="Y8" s="256">
        <f t="shared" si="6"/>
        <v>0</v>
      </c>
      <c r="Z8" s="137">
        <f t="shared" si="7"/>
        <v>0</v>
      </c>
      <c r="AA8" s="262">
        <f>Z8</f>
        <v>0</v>
      </c>
      <c r="AB8" s="268" t="s">
        <v>673</v>
      </c>
    </row>
    <row r="9" spans="1:28" s="85" customFormat="1" ht="98.25" customHeight="1">
      <c r="A9" s="453"/>
      <c r="B9" s="342" t="s">
        <v>40</v>
      </c>
      <c r="C9" s="87" t="s">
        <v>768</v>
      </c>
      <c r="D9" s="87" t="s">
        <v>567</v>
      </c>
      <c r="E9" s="87" t="s">
        <v>32</v>
      </c>
      <c r="F9" s="342" t="s">
        <v>42</v>
      </c>
      <c r="G9" s="90" t="s">
        <v>34</v>
      </c>
      <c r="H9" s="90" t="s">
        <v>35</v>
      </c>
      <c r="I9" s="18">
        <v>0.05</v>
      </c>
      <c r="J9" s="18">
        <v>0.1</v>
      </c>
      <c r="K9" s="18">
        <v>0.1</v>
      </c>
      <c r="L9" s="18">
        <v>0.15</v>
      </c>
      <c r="M9" s="18">
        <v>0.2</v>
      </c>
      <c r="N9" s="18">
        <v>0.25</v>
      </c>
      <c r="O9" s="18">
        <v>0.3</v>
      </c>
      <c r="P9" s="153">
        <v>0.3</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258">
        <f>Z9</f>
        <v>0</v>
      </c>
      <c r="AB9" s="265" t="s">
        <v>673</v>
      </c>
    </row>
    <row r="10" spans="1:28" s="85" customFormat="1" ht="87.75" customHeight="1" thickBot="1">
      <c r="A10" s="447"/>
      <c r="B10" s="347" t="s">
        <v>568</v>
      </c>
      <c r="C10" s="92" t="s">
        <v>453</v>
      </c>
      <c r="D10" s="92" t="s">
        <v>541</v>
      </c>
      <c r="E10" s="92" t="s">
        <v>37</v>
      </c>
      <c r="F10" s="351" t="s">
        <v>43</v>
      </c>
      <c r="G10" s="88" t="s">
        <v>35</v>
      </c>
      <c r="H10" s="88" t="s">
        <v>35</v>
      </c>
      <c r="I10" s="88" t="s">
        <v>44</v>
      </c>
      <c r="J10" s="88">
        <v>0</v>
      </c>
      <c r="K10" s="88">
        <v>4</v>
      </c>
      <c r="L10" s="88">
        <v>2</v>
      </c>
      <c r="M10" s="88">
        <v>2</v>
      </c>
      <c r="N10" s="88">
        <v>2</v>
      </c>
      <c r="O10" s="88">
        <v>2</v>
      </c>
      <c r="P10" s="161">
        <v>2</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259">
        <f>Z10</f>
        <v>0</v>
      </c>
      <c r="AB10" s="266" t="s">
        <v>673</v>
      </c>
    </row>
    <row r="11" spans="1:28" s="85" customFormat="1" ht="72.75" customHeight="1">
      <c r="A11" s="467" t="s">
        <v>45</v>
      </c>
      <c r="B11" s="348" t="s">
        <v>46</v>
      </c>
      <c r="C11" s="77" t="s">
        <v>450</v>
      </c>
      <c r="D11" s="77" t="s">
        <v>541</v>
      </c>
      <c r="E11" s="77" t="s">
        <v>37</v>
      </c>
      <c r="F11" s="348" t="s">
        <v>47</v>
      </c>
      <c r="G11" s="20" t="s">
        <v>35</v>
      </c>
      <c r="H11" s="89" t="s">
        <v>35</v>
      </c>
      <c r="I11" s="6" t="s">
        <v>48</v>
      </c>
      <c r="J11" s="20">
        <v>1</v>
      </c>
      <c r="K11" s="20">
        <v>2</v>
      </c>
      <c r="L11" s="20">
        <v>3</v>
      </c>
      <c r="M11" s="20">
        <v>3</v>
      </c>
      <c r="N11" s="20">
        <v>4</v>
      </c>
      <c r="O11" s="20">
        <v>4</v>
      </c>
      <c r="P11" s="163">
        <v>4</v>
      </c>
      <c r="Q11" s="135">
        <v>0</v>
      </c>
      <c r="R11" s="136">
        <v>0.04</v>
      </c>
      <c r="S11" s="175">
        <f t="shared" si="0"/>
        <v>0</v>
      </c>
      <c r="T11" s="175">
        <f t="shared" si="1"/>
        <v>0</v>
      </c>
      <c r="U11" s="175">
        <f t="shared" si="2"/>
        <v>0</v>
      </c>
      <c r="V11" s="175">
        <f t="shared" si="3"/>
        <v>0</v>
      </c>
      <c r="W11" s="175">
        <f t="shared" si="4"/>
        <v>0</v>
      </c>
      <c r="X11" s="175">
        <f t="shared" si="5"/>
        <v>0</v>
      </c>
      <c r="Y11" s="175">
        <f t="shared" si="6"/>
        <v>0</v>
      </c>
      <c r="Z11" s="137">
        <f t="shared" si="7"/>
        <v>0</v>
      </c>
      <c r="AA11" s="262">
        <f>Z11</f>
        <v>0</v>
      </c>
      <c r="AB11" s="268" t="s">
        <v>673</v>
      </c>
    </row>
    <row r="12" spans="1:28" s="85" customFormat="1" ht="72.75" customHeight="1">
      <c r="A12" s="468"/>
      <c r="B12" s="470" t="s">
        <v>418</v>
      </c>
      <c r="C12" s="68" t="s">
        <v>450</v>
      </c>
      <c r="D12" s="450" t="s">
        <v>541</v>
      </c>
      <c r="E12" s="84" t="s">
        <v>32</v>
      </c>
      <c r="F12" s="352" t="s">
        <v>371</v>
      </c>
      <c r="G12" s="78" t="s">
        <v>35</v>
      </c>
      <c r="H12" s="79" t="s">
        <v>159</v>
      </c>
      <c r="I12" s="105" t="s">
        <v>439</v>
      </c>
      <c r="J12" s="78" t="s">
        <v>457</v>
      </c>
      <c r="K12" s="78" t="s">
        <v>458</v>
      </c>
      <c r="L12" s="78" t="s">
        <v>459</v>
      </c>
      <c r="M12" s="78" t="s">
        <v>460</v>
      </c>
      <c r="N12" s="78" t="s">
        <v>461</v>
      </c>
      <c r="O12" s="78" t="s">
        <v>462</v>
      </c>
      <c r="P12" s="164" t="s">
        <v>463</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8">
        <f>SUM(Z12:Z13)</f>
        <v>0</v>
      </c>
      <c r="AB12" s="486" t="s">
        <v>673</v>
      </c>
    </row>
    <row r="13" spans="1:28" s="85" customFormat="1" ht="72.75" customHeight="1" thickBot="1">
      <c r="A13" s="469"/>
      <c r="B13" s="471"/>
      <c r="C13" s="106" t="s">
        <v>450</v>
      </c>
      <c r="D13" s="451"/>
      <c r="E13" s="107" t="s">
        <v>32</v>
      </c>
      <c r="F13" s="350" t="s">
        <v>471</v>
      </c>
      <c r="G13" s="108" t="s">
        <v>35</v>
      </c>
      <c r="H13" s="109" t="s">
        <v>35</v>
      </c>
      <c r="I13" s="110" t="s">
        <v>440</v>
      </c>
      <c r="J13" s="111" t="s">
        <v>469</v>
      </c>
      <c r="K13" s="111" t="s">
        <v>470</v>
      </c>
      <c r="L13" s="108" t="s">
        <v>464</v>
      </c>
      <c r="M13" s="108" t="s">
        <v>465</v>
      </c>
      <c r="N13" s="108" t="s">
        <v>466</v>
      </c>
      <c r="O13" s="108" t="s">
        <v>467</v>
      </c>
      <c r="P13" s="165" t="s">
        <v>468</v>
      </c>
      <c r="Q13" s="162">
        <v>0</v>
      </c>
      <c r="R13" s="144">
        <v>0.04</v>
      </c>
      <c r="S13" s="147">
        <f t="shared" si="0"/>
        <v>0</v>
      </c>
      <c r="T13" s="147">
        <f t="shared" si="1"/>
        <v>0</v>
      </c>
      <c r="U13" s="147">
        <f t="shared" si="2"/>
        <v>0</v>
      </c>
      <c r="V13" s="147">
        <f t="shared" si="3"/>
        <v>0</v>
      </c>
      <c r="W13" s="147">
        <f t="shared" si="4"/>
        <v>0</v>
      </c>
      <c r="X13" s="147">
        <f t="shared" si="5"/>
        <v>0</v>
      </c>
      <c r="Y13" s="147">
        <f t="shared" si="6"/>
        <v>0</v>
      </c>
      <c r="Z13" s="145">
        <f t="shared" si="7"/>
        <v>0</v>
      </c>
      <c r="AA13" s="444"/>
      <c r="AB13" s="481"/>
    </row>
    <row r="14" spans="1:28" s="85" customFormat="1" ht="96.75" customHeight="1">
      <c r="A14" s="446" t="s">
        <v>372</v>
      </c>
      <c r="B14" s="349" t="s">
        <v>770</v>
      </c>
      <c r="C14" s="77" t="s">
        <v>771</v>
      </c>
      <c r="D14" s="77" t="s">
        <v>554</v>
      </c>
      <c r="E14" s="86" t="s">
        <v>37</v>
      </c>
      <c r="F14" s="346" t="s">
        <v>742</v>
      </c>
      <c r="G14" s="89" t="s">
        <v>35</v>
      </c>
      <c r="H14" s="89" t="s">
        <v>35</v>
      </c>
      <c r="I14" s="89">
        <v>6</v>
      </c>
      <c r="J14" s="89">
        <v>3</v>
      </c>
      <c r="K14" s="89">
        <v>3</v>
      </c>
      <c r="L14" s="89">
        <v>3</v>
      </c>
      <c r="M14" s="89">
        <v>7</v>
      </c>
      <c r="N14" s="89">
        <v>9</v>
      </c>
      <c r="O14" s="89">
        <v>3</v>
      </c>
      <c r="P14" s="166">
        <v>3</v>
      </c>
      <c r="Q14" s="135">
        <v>0</v>
      </c>
      <c r="R14" s="136">
        <v>0.04</v>
      </c>
      <c r="S14" s="175">
        <f t="shared" si="0"/>
        <v>0</v>
      </c>
      <c r="T14" s="175">
        <f t="shared" si="1"/>
        <v>0</v>
      </c>
      <c r="U14" s="175">
        <f t="shared" si="2"/>
        <v>0</v>
      </c>
      <c r="V14" s="175">
        <f t="shared" si="3"/>
        <v>0</v>
      </c>
      <c r="W14" s="175">
        <f t="shared" si="4"/>
        <v>0</v>
      </c>
      <c r="X14" s="175">
        <f t="shared" si="5"/>
        <v>0</v>
      </c>
      <c r="Y14" s="175">
        <f t="shared" si="6"/>
        <v>0</v>
      </c>
      <c r="Z14" s="137">
        <f t="shared" si="7"/>
        <v>0</v>
      </c>
      <c r="AA14" s="262">
        <f>Z14</f>
        <v>0</v>
      </c>
      <c r="AB14" s="268" t="s">
        <v>673</v>
      </c>
    </row>
    <row r="15" spans="1:28" s="85" customFormat="1" ht="75.75" customHeight="1" thickBot="1">
      <c r="A15" s="447"/>
      <c r="B15" s="350" t="s">
        <v>373</v>
      </c>
      <c r="C15" s="107" t="s">
        <v>773</v>
      </c>
      <c r="D15" s="107" t="s">
        <v>554</v>
      </c>
      <c r="E15" s="113" t="s">
        <v>32</v>
      </c>
      <c r="F15" s="353" t="s">
        <v>689</v>
      </c>
      <c r="G15" s="109" t="s">
        <v>35</v>
      </c>
      <c r="H15" s="109" t="s">
        <v>35</v>
      </c>
      <c r="I15" s="114" t="s">
        <v>441</v>
      </c>
      <c r="J15" s="114">
        <v>18000</v>
      </c>
      <c r="K15" s="114">
        <v>18500</v>
      </c>
      <c r="L15" s="114">
        <v>19000</v>
      </c>
      <c r="M15" s="114">
        <v>19500</v>
      </c>
      <c r="N15" s="114">
        <v>20000</v>
      </c>
      <c r="O15" s="114">
        <v>20500</v>
      </c>
      <c r="P15" s="167">
        <v>21000</v>
      </c>
      <c r="Q15" s="143">
        <v>0</v>
      </c>
      <c r="R15" s="155">
        <v>0.04</v>
      </c>
      <c r="S15" s="147">
        <f t="shared" si="0"/>
        <v>0</v>
      </c>
      <c r="T15" s="147">
        <f t="shared" si="1"/>
        <v>0</v>
      </c>
      <c r="U15" s="147">
        <f t="shared" si="2"/>
        <v>0</v>
      </c>
      <c r="V15" s="147">
        <f t="shared" si="3"/>
        <v>0</v>
      </c>
      <c r="W15" s="147">
        <f t="shared" si="4"/>
        <v>0</v>
      </c>
      <c r="X15" s="147">
        <f t="shared" si="5"/>
        <v>0</v>
      </c>
      <c r="Y15" s="147">
        <f t="shared" si="6"/>
        <v>0</v>
      </c>
      <c r="Z15" s="168">
        <f t="shared" si="7"/>
        <v>0</v>
      </c>
      <c r="AA15" s="259">
        <f>Z15</f>
        <v>0</v>
      </c>
      <c r="AB15" s="266" t="s">
        <v>673</v>
      </c>
    </row>
    <row r="16" spans="1:28" s="85" customFormat="1" ht="57" customHeight="1">
      <c r="A16" s="446" t="s">
        <v>49</v>
      </c>
      <c r="B16" s="456" t="s">
        <v>50</v>
      </c>
      <c r="C16" s="448" t="s">
        <v>451</v>
      </c>
      <c r="D16" s="448" t="s">
        <v>569</v>
      </c>
      <c r="E16" s="86" t="s">
        <v>32</v>
      </c>
      <c r="F16" s="346" t="s">
        <v>51</v>
      </c>
      <c r="G16" s="89" t="s">
        <v>34</v>
      </c>
      <c r="H16" s="89" t="s">
        <v>35</v>
      </c>
      <c r="I16" s="116">
        <v>0.6</v>
      </c>
      <c r="J16" s="6">
        <v>0.6</v>
      </c>
      <c r="K16" s="6">
        <v>0.6</v>
      </c>
      <c r="L16" s="6">
        <v>0.65</v>
      </c>
      <c r="M16" s="6">
        <v>0.65</v>
      </c>
      <c r="N16" s="6">
        <v>0.7</v>
      </c>
      <c r="O16" s="6">
        <v>0.7</v>
      </c>
      <c r="P16" s="151">
        <v>0.75</v>
      </c>
      <c r="Q16" s="135">
        <v>0</v>
      </c>
      <c r="R16" s="136">
        <v>0.04</v>
      </c>
      <c r="S16" s="175">
        <f t="shared" si="0"/>
        <v>0</v>
      </c>
      <c r="T16" s="175">
        <f t="shared" si="1"/>
        <v>0</v>
      </c>
      <c r="U16" s="175">
        <f t="shared" si="2"/>
        <v>0</v>
      </c>
      <c r="V16" s="175">
        <f t="shared" si="3"/>
        <v>0</v>
      </c>
      <c r="W16" s="175">
        <f t="shared" si="4"/>
        <v>0</v>
      </c>
      <c r="X16" s="175">
        <f t="shared" si="5"/>
        <v>0</v>
      </c>
      <c r="Y16" s="175">
        <f t="shared" si="6"/>
        <v>0</v>
      </c>
      <c r="Z16" s="137">
        <f t="shared" ref="Z16:Z31" si="8">SUM(S16:Y16)</f>
        <v>0</v>
      </c>
      <c r="AA16" s="445">
        <f>SUM(Z16:Z20)</f>
        <v>0</v>
      </c>
      <c r="AB16" s="480" t="s">
        <v>673</v>
      </c>
    </row>
    <row r="17" spans="1:28" s="85" customFormat="1" ht="37.5" customHeight="1">
      <c r="A17" s="453"/>
      <c r="B17" s="457"/>
      <c r="C17" s="449"/>
      <c r="D17" s="449"/>
      <c r="E17" s="87" t="s">
        <v>32</v>
      </c>
      <c r="F17" s="342" t="s">
        <v>52</v>
      </c>
      <c r="G17" s="90" t="s">
        <v>34</v>
      </c>
      <c r="H17" s="90" t="s">
        <v>35</v>
      </c>
      <c r="I17" s="115">
        <v>0.8</v>
      </c>
      <c r="J17" s="115">
        <v>0.82</v>
      </c>
      <c r="K17" s="115">
        <v>0.82</v>
      </c>
      <c r="L17" s="115">
        <v>0.84</v>
      </c>
      <c r="M17" s="115">
        <v>0.84</v>
      </c>
      <c r="N17" s="115">
        <v>0.85</v>
      </c>
      <c r="O17" s="115">
        <v>0.85</v>
      </c>
      <c r="P17" s="152">
        <v>0.86</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si="8"/>
        <v>0</v>
      </c>
      <c r="AA17" s="419"/>
      <c r="AB17" s="480"/>
    </row>
    <row r="18" spans="1:28" s="85" customFormat="1" ht="45.75" customHeight="1">
      <c r="A18" s="453"/>
      <c r="B18" s="457"/>
      <c r="C18" s="449"/>
      <c r="D18" s="449"/>
      <c r="E18" s="87" t="s">
        <v>32</v>
      </c>
      <c r="F18" s="342" t="s">
        <v>53</v>
      </c>
      <c r="G18" s="90" t="s">
        <v>34</v>
      </c>
      <c r="H18" s="90" t="s">
        <v>35</v>
      </c>
      <c r="I18" s="115">
        <v>0.48</v>
      </c>
      <c r="J18" s="115">
        <v>0.48</v>
      </c>
      <c r="K18" s="115">
        <v>0.48</v>
      </c>
      <c r="L18" s="115">
        <v>0.49</v>
      </c>
      <c r="M18" s="115">
        <v>0.49</v>
      </c>
      <c r="N18" s="115">
        <v>0.5</v>
      </c>
      <c r="O18" s="115">
        <v>0.5</v>
      </c>
      <c r="P18" s="152">
        <v>0.5</v>
      </c>
      <c r="Q18" s="138">
        <v>0</v>
      </c>
      <c r="R18" s="139">
        <v>0.04</v>
      </c>
      <c r="S18" s="140">
        <f t="shared" si="0"/>
        <v>0</v>
      </c>
      <c r="T18" s="140">
        <f t="shared" si="1"/>
        <v>0</v>
      </c>
      <c r="U18" s="140">
        <f t="shared" si="2"/>
        <v>0</v>
      </c>
      <c r="V18" s="140">
        <f t="shared" si="3"/>
        <v>0</v>
      </c>
      <c r="W18" s="140">
        <f t="shared" si="4"/>
        <v>0</v>
      </c>
      <c r="X18" s="140">
        <f t="shared" si="5"/>
        <v>0</v>
      </c>
      <c r="Y18" s="140">
        <f t="shared" si="6"/>
        <v>0</v>
      </c>
      <c r="Z18" s="141">
        <f t="shared" si="8"/>
        <v>0</v>
      </c>
      <c r="AA18" s="419"/>
      <c r="AB18" s="480"/>
    </row>
    <row r="19" spans="1:28" s="85" customFormat="1" ht="59.25" customHeight="1">
      <c r="A19" s="453"/>
      <c r="B19" s="457"/>
      <c r="C19" s="449"/>
      <c r="D19" s="449"/>
      <c r="E19" s="87" t="s">
        <v>54</v>
      </c>
      <c r="F19" s="340" t="s">
        <v>55</v>
      </c>
      <c r="G19" s="90" t="s">
        <v>34</v>
      </c>
      <c r="H19" s="90" t="s">
        <v>35</v>
      </c>
      <c r="I19" s="115">
        <v>0.5</v>
      </c>
      <c r="J19" s="115">
        <v>0.5</v>
      </c>
      <c r="K19" s="115">
        <v>0.5</v>
      </c>
      <c r="L19" s="115">
        <v>0.52</v>
      </c>
      <c r="M19" s="115">
        <v>0.54</v>
      </c>
      <c r="N19" s="115">
        <v>0.56000000000000005</v>
      </c>
      <c r="O19" s="115">
        <v>0.57999999999999996</v>
      </c>
      <c r="P19" s="152">
        <v>0.6</v>
      </c>
      <c r="Q19" s="138">
        <v>0</v>
      </c>
      <c r="R19" s="139">
        <v>0.04</v>
      </c>
      <c r="S19" s="140">
        <f t="shared" si="0"/>
        <v>0</v>
      </c>
      <c r="T19" s="140">
        <f t="shared" si="1"/>
        <v>0</v>
      </c>
      <c r="U19" s="140">
        <f t="shared" si="2"/>
        <v>0</v>
      </c>
      <c r="V19" s="140">
        <f t="shared" si="3"/>
        <v>0</v>
      </c>
      <c r="W19" s="140">
        <f t="shared" si="4"/>
        <v>0</v>
      </c>
      <c r="X19" s="140">
        <f t="shared" si="5"/>
        <v>0</v>
      </c>
      <c r="Y19" s="140">
        <f t="shared" si="6"/>
        <v>0</v>
      </c>
      <c r="Z19" s="141">
        <f t="shared" si="8"/>
        <v>0</v>
      </c>
      <c r="AA19" s="419"/>
      <c r="AB19" s="480"/>
    </row>
    <row r="20" spans="1:28" s="85" customFormat="1" ht="65.25" customHeight="1">
      <c r="A20" s="453"/>
      <c r="B20" s="457"/>
      <c r="C20" s="449"/>
      <c r="D20" s="449"/>
      <c r="E20" s="87" t="s">
        <v>54</v>
      </c>
      <c r="F20" s="340" t="s">
        <v>690</v>
      </c>
      <c r="G20" s="90" t="s">
        <v>34</v>
      </c>
      <c r="H20" s="90" t="s">
        <v>35</v>
      </c>
      <c r="I20" s="18">
        <v>0.65</v>
      </c>
      <c r="J20" s="18">
        <v>0.65</v>
      </c>
      <c r="K20" s="18">
        <v>0.65</v>
      </c>
      <c r="L20" s="18">
        <v>0.67</v>
      </c>
      <c r="M20" s="18">
        <v>0.67</v>
      </c>
      <c r="N20" s="18">
        <v>0.69</v>
      </c>
      <c r="O20" s="18">
        <v>0.69</v>
      </c>
      <c r="P20" s="153">
        <v>0.7</v>
      </c>
      <c r="Q20" s="138">
        <v>0</v>
      </c>
      <c r="R20" s="139">
        <v>0.04</v>
      </c>
      <c r="S20" s="140">
        <f t="shared" si="0"/>
        <v>0</v>
      </c>
      <c r="T20" s="140">
        <f t="shared" si="1"/>
        <v>0</v>
      </c>
      <c r="U20" s="140">
        <f t="shared" si="2"/>
        <v>0</v>
      </c>
      <c r="V20" s="140">
        <f t="shared" si="3"/>
        <v>0</v>
      </c>
      <c r="W20" s="140">
        <f t="shared" si="4"/>
        <v>0</v>
      </c>
      <c r="X20" s="140">
        <f t="shared" si="5"/>
        <v>0</v>
      </c>
      <c r="Y20" s="140">
        <f t="shared" si="6"/>
        <v>0</v>
      </c>
      <c r="Z20" s="141">
        <f t="shared" si="8"/>
        <v>0</v>
      </c>
      <c r="AA20" s="420"/>
      <c r="AB20" s="485"/>
    </row>
    <row r="21" spans="1:28" s="85" customFormat="1" ht="60.75" customHeight="1" thickBot="1">
      <c r="A21" s="447"/>
      <c r="B21" s="347" t="s">
        <v>56</v>
      </c>
      <c r="C21" s="92" t="s">
        <v>450</v>
      </c>
      <c r="D21" s="92" t="s">
        <v>554</v>
      </c>
      <c r="E21" s="92" t="s">
        <v>32</v>
      </c>
      <c r="F21" s="347" t="s">
        <v>57</v>
      </c>
      <c r="G21" s="88" t="s">
        <v>34</v>
      </c>
      <c r="H21" s="88" t="s">
        <v>35</v>
      </c>
      <c r="I21" s="33">
        <v>0.4</v>
      </c>
      <c r="J21" s="33">
        <v>0.4</v>
      </c>
      <c r="K21" s="33">
        <v>0.4</v>
      </c>
      <c r="L21" s="33">
        <v>0.45</v>
      </c>
      <c r="M21" s="33">
        <v>0.45</v>
      </c>
      <c r="N21" s="33">
        <v>0.5</v>
      </c>
      <c r="O21" s="33">
        <v>0.5</v>
      </c>
      <c r="P21" s="154">
        <v>0.5</v>
      </c>
      <c r="Q21" s="162">
        <v>0</v>
      </c>
      <c r="R21" s="144">
        <v>0.04</v>
      </c>
      <c r="S21" s="147">
        <f t="shared" si="0"/>
        <v>0</v>
      </c>
      <c r="T21" s="147">
        <f t="shared" si="1"/>
        <v>0</v>
      </c>
      <c r="U21" s="147">
        <f t="shared" si="2"/>
        <v>0</v>
      </c>
      <c r="V21" s="147">
        <f t="shared" si="3"/>
        <v>0</v>
      </c>
      <c r="W21" s="147">
        <f t="shared" si="4"/>
        <v>0</v>
      </c>
      <c r="X21" s="147">
        <f t="shared" si="5"/>
        <v>0</v>
      </c>
      <c r="Y21" s="147">
        <f t="shared" si="6"/>
        <v>0</v>
      </c>
      <c r="Z21" s="145">
        <f t="shared" si="8"/>
        <v>0</v>
      </c>
      <c r="AA21" s="259">
        <f>Z21</f>
        <v>0</v>
      </c>
      <c r="AB21" s="266" t="s">
        <v>673</v>
      </c>
    </row>
    <row r="22" spans="1:28" s="85" customFormat="1" ht="55.5" customHeight="1" thickBot="1">
      <c r="A22" s="446" t="s">
        <v>684</v>
      </c>
      <c r="B22" s="454" t="s">
        <v>454</v>
      </c>
      <c r="C22" s="448" t="s">
        <v>452</v>
      </c>
      <c r="D22" s="448" t="s">
        <v>554</v>
      </c>
      <c r="E22" s="86" t="s">
        <v>54</v>
      </c>
      <c r="F22" s="349" t="s">
        <v>58</v>
      </c>
      <c r="G22" s="89" t="s">
        <v>35</v>
      </c>
      <c r="H22" s="89" t="s">
        <v>35</v>
      </c>
      <c r="I22" s="89" t="s">
        <v>59</v>
      </c>
      <c r="J22" s="12">
        <v>1</v>
      </c>
      <c r="K22" s="12">
        <v>0</v>
      </c>
      <c r="L22" s="12">
        <v>1</v>
      </c>
      <c r="M22" s="12">
        <v>0</v>
      </c>
      <c r="N22" s="12">
        <v>1</v>
      </c>
      <c r="O22" s="12">
        <v>0</v>
      </c>
      <c r="P22" s="196">
        <v>1</v>
      </c>
      <c r="Q22" s="135">
        <v>0</v>
      </c>
      <c r="R22" s="136">
        <v>0.04</v>
      </c>
      <c r="S22" s="175">
        <f t="shared" si="0"/>
        <v>0</v>
      </c>
      <c r="T22" s="175">
        <f t="shared" si="1"/>
        <v>0</v>
      </c>
      <c r="U22" s="175">
        <f t="shared" si="2"/>
        <v>0</v>
      </c>
      <c r="V22" s="175">
        <f t="shared" si="3"/>
        <v>0</v>
      </c>
      <c r="W22" s="175">
        <f t="shared" si="4"/>
        <v>0</v>
      </c>
      <c r="X22" s="175">
        <f t="shared" si="5"/>
        <v>0</v>
      </c>
      <c r="Y22" s="175">
        <f t="shared" si="6"/>
        <v>0</v>
      </c>
      <c r="Z22" s="137">
        <f t="shared" si="8"/>
        <v>0</v>
      </c>
      <c r="AA22" s="445">
        <f>SUM(Z22:Z26)</f>
        <v>3751720779.3101845</v>
      </c>
      <c r="AB22" s="480" t="s">
        <v>685</v>
      </c>
    </row>
    <row r="23" spans="1:28" s="85" customFormat="1" ht="81.75" customHeight="1">
      <c r="A23" s="453"/>
      <c r="B23" s="455"/>
      <c r="C23" s="449"/>
      <c r="D23" s="449"/>
      <c r="E23" s="87" t="s">
        <v>54</v>
      </c>
      <c r="F23" s="342" t="s">
        <v>60</v>
      </c>
      <c r="G23" s="90" t="s">
        <v>35</v>
      </c>
      <c r="H23" s="90" t="s">
        <v>35</v>
      </c>
      <c r="I23" s="90">
        <v>0</v>
      </c>
      <c r="J23" s="23">
        <v>0</v>
      </c>
      <c r="K23" s="23">
        <v>0</v>
      </c>
      <c r="L23" s="23">
        <v>10</v>
      </c>
      <c r="M23" s="23">
        <v>0</v>
      </c>
      <c r="N23" s="23">
        <v>0</v>
      </c>
      <c r="O23" s="23">
        <v>0</v>
      </c>
      <c r="P23" s="156">
        <v>10</v>
      </c>
      <c r="Q23" s="135">
        <v>6781300</v>
      </c>
      <c r="R23" s="139">
        <v>7.0000000000000007E-2</v>
      </c>
      <c r="S23" s="140">
        <f t="shared" si="0"/>
        <v>0</v>
      </c>
      <c r="T23" s="140">
        <f t="shared" si="1"/>
        <v>0</v>
      </c>
      <c r="U23" s="140">
        <v>1623562081.2371855</v>
      </c>
      <c r="V23" s="140">
        <f t="shared" si="3"/>
        <v>0</v>
      </c>
      <c r="W23" s="140">
        <f t="shared" si="4"/>
        <v>0</v>
      </c>
      <c r="X23" s="140">
        <f t="shared" si="5"/>
        <v>0</v>
      </c>
      <c r="Y23" s="140">
        <v>2128158698.072999</v>
      </c>
      <c r="Z23" s="141">
        <f>SUM(S23:Y23)</f>
        <v>3751720779.3101845</v>
      </c>
      <c r="AA23" s="419"/>
      <c r="AB23" s="480"/>
    </row>
    <row r="24" spans="1:28" s="85" customFormat="1" ht="103.5" customHeight="1">
      <c r="A24" s="453"/>
      <c r="B24" s="455"/>
      <c r="C24" s="449"/>
      <c r="D24" s="449"/>
      <c r="E24" s="87" t="s">
        <v>54</v>
      </c>
      <c r="F24" s="342" t="s">
        <v>814</v>
      </c>
      <c r="G24" s="90" t="s">
        <v>35</v>
      </c>
      <c r="H24" s="90" t="s">
        <v>159</v>
      </c>
      <c r="I24" s="90">
        <v>0</v>
      </c>
      <c r="J24" s="24">
        <v>0</v>
      </c>
      <c r="K24" s="24">
        <v>0.1</v>
      </c>
      <c r="L24" s="24">
        <v>0</v>
      </c>
      <c r="M24" s="24">
        <v>0.2</v>
      </c>
      <c r="N24" s="24">
        <v>0</v>
      </c>
      <c r="O24" s="24">
        <v>0.3</v>
      </c>
      <c r="P24" s="157">
        <v>0</v>
      </c>
      <c r="Q24" s="287">
        <v>0</v>
      </c>
      <c r="R24" s="139">
        <v>0.04</v>
      </c>
      <c r="S24" s="140">
        <f t="shared" si="0"/>
        <v>0</v>
      </c>
      <c r="T24" s="140">
        <f t="shared" si="1"/>
        <v>0</v>
      </c>
      <c r="U24" s="140">
        <f t="shared" si="2"/>
        <v>0</v>
      </c>
      <c r="V24" s="140">
        <f t="shared" si="3"/>
        <v>0</v>
      </c>
      <c r="W24" s="140">
        <f t="shared" si="4"/>
        <v>0</v>
      </c>
      <c r="X24" s="140">
        <f t="shared" si="5"/>
        <v>0</v>
      </c>
      <c r="Y24" s="140">
        <f t="shared" si="6"/>
        <v>0</v>
      </c>
      <c r="Z24" s="141">
        <f t="shared" si="8"/>
        <v>0</v>
      </c>
      <c r="AA24" s="419"/>
      <c r="AB24" s="480"/>
    </row>
    <row r="25" spans="1:28" s="85" customFormat="1" ht="75.95" customHeight="1">
      <c r="A25" s="453"/>
      <c r="B25" s="455"/>
      <c r="C25" s="449"/>
      <c r="D25" s="449"/>
      <c r="E25" s="87" t="s">
        <v>54</v>
      </c>
      <c r="F25" s="342" t="s">
        <v>445</v>
      </c>
      <c r="G25" s="90" t="s">
        <v>34</v>
      </c>
      <c r="H25" s="90" t="s">
        <v>35</v>
      </c>
      <c r="I25" s="25">
        <v>0.34</v>
      </c>
      <c r="J25" s="25">
        <v>0.35</v>
      </c>
      <c r="K25" s="25">
        <v>0.35</v>
      </c>
      <c r="L25" s="25">
        <v>0.4</v>
      </c>
      <c r="M25" s="25">
        <v>0.4</v>
      </c>
      <c r="N25" s="25">
        <v>0.45</v>
      </c>
      <c r="O25" s="25">
        <v>0.45</v>
      </c>
      <c r="P25" s="158">
        <v>0.45</v>
      </c>
      <c r="Q25" s="142">
        <v>0</v>
      </c>
      <c r="R25" s="139">
        <v>0.04</v>
      </c>
      <c r="S25" s="140">
        <f t="shared" si="0"/>
        <v>0</v>
      </c>
      <c r="T25" s="140">
        <f t="shared" si="1"/>
        <v>0</v>
      </c>
      <c r="U25" s="140">
        <f t="shared" si="2"/>
        <v>0</v>
      </c>
      <c r="V25" s="140">
        <f t="shared" si="3"/>
        <v>0</v>
      </c>
      <c r="W25" s="140">
        <f t="shared" si="4"/>
        <v>0</v>
      </c>
      <c r="X25" s="140">
        <f t="shared" si="5"/>
        <v>0</v>
      </c>
      <c r="Y25" s="140">
        <f t="shared" si="6"/>
        <v>0</v>
      </c>
      <c r="Z25" s="141">
        <f t="shared" si="8"/>
        <v>0</v>
      </c>
      <c r="AA25" s="419"/>
      <c r="AB25" s="480"/>
    </row>
    <row r="26" spans="1:28" s="85" customFormat="1" ht="52.5" customHeight="1">
      <c r="A26" s="453"/>
      <c r="B26" s="455"/>
      <c r="C26" s="449"/>
      <c r="D26" s="449"/>
      <c r="E26" s="87" t="s">
        <v>32</v>
      </c>
      <c r="F26" s="342" t="s">
        <v>455</v>
      </c>
      <c r="G26" s="90" t="s">
        <v>34</v>
      </c>
      <c r="H26" s="90" t="s">
        <v>35</v>
      </c>
      <c r="I26" s="25">
        <v>0.65</v>
      </c>
      <c r="J26" s="25">
        <v>0.7</v>
      </c>
      <c r="K26" s="25">
        <v>0.75</v>
      </c>
      <c r="L26" s="25">
        <v>0.75</v>
      </c>
      <c r="M26" s="25">
        <v>0.8</v>
      </c>
      <c r="N26" s="25">
        <v>0.8</v>
      </c>
      <c r="O26" s="25">
        <v>0.85</v>
      </c>
      <c r="P26" s="158">
        <v>0.85</v>
      </c>
      <c r="Q26" s="138">
        <v>0</v>
      </c>
      <c r="R26" s="139">
        <v>0.04</v>
      </c>
      <c r="S26" s="140">
        <f t="shared" si="0"/>
        <v>0</v>
      </c>
      <c r="T26" s="140">
        <f t="shared" si="1"/>
        <v>0</v>
      </c>
      <c r="U26" s="140">
        <f t="shared" si="2"/>
        <v>0</v>
      </c>
      <c r="V26" s="140">
        <f t="shared" si="3"/>
        <v>0</v>
      </c>
      <c r="W26" s="140">
        <f t="shared" si="4"/>
        <v>0</v>
      </c>
      <c r="X26" s="140">
        <f t="shared" si="5"/>
        <v>0</v>
      </c>
      <c r="Y26" s="140">
        <f t="shared" si="6"/>
        <v>0</v>
      </c>
      <c r="Z26" s="141">
        <f t="shared" si="8"/>
        <v>0</v>
      </c>
      <c r="AA26" s="420"/>
      <c r="AB26" s="485"/>
    </row>
    <row r="27" spans="1:28" s="85" customFormat="1" ht="120.75" customHeight="1" thickBot="1">
      <c r="A27" s="447"/>
      <c r="B27" s="347" t="s">
        <v>61</v>
      </c>
      <c r="C27" s="92" t="s">
        <v>472</v>
      </c>
      <c r="D27" s="92" t="s">
        <v>554</v>
      </c>
      <c r="E27" s="92" t="s">
        <v>32</v>
      </c>
      <c r="F27" s="347" t="s">
        <v>456</v>
      </c>
      <c r="G27" s="88" t="s">
        <v>34</v>
      </c>
      <c r="H27" s="88" t="s">
        <v>35</v>
      </c>
      <c r="I27" s="33">
        <v>0.55000000000000004</v>
      </c>
      <c r="J27" s="33">
        <v>0.55000000000000004</v>
      </c>
      <c r="K27" s="33">
        <v>0.6</v>
      </c>
      <c r="L27" s="33">
        <v>0.6</v>
      </c>
      <c r="M27" s="33">
        <v>0.65</v>
      </c>
      <c r="N27" s="33">
        <v>0.65</v>
      </c>
      <c r="O27" s="33">
        <v>0.7</v>
      </c>
      <c r="P27" s="154">
        <v>0.7</v>
      </c>
      <c r="Q27" s="162">
        <v>0</v>
      </c>
      <c r="R27" s="144">
        <v>0.04</v>
      </c>
      <c r="S27" s="147">
        <f t="shared" si="0"/>
        <v>0</v>
      </c>
      <c r="T27" s="147">
        <f t="shared" si="1"/>
        <v>0</v>
      </c>
      <c r="U27" s="147">
        <f t="shared" si="2"/>
        <v>0</v>
      </c>
      <c r="V27" s="147">
        <f t="shared" si="3"/>
        <v>0</v>
      </c>
      <c r="W27" s="147">
        <f t="shared" si="4"/>
        <v>0</v>
      </c>
      <c r="X27" s="147">
        <f t="shared" si="5"/>
        <v>0</v>
      </c>
      <c r="Y27" s="147">
        <f t="shared" si="6"/>
        <v>0</v>
      </c>
      <c r="Z27" s="145">
        <f t="shared" si="8"/>
        <v>0</v>
      </c>
      <c r="AA27" s="259">
        <f>Z27</f>
        <v>0</v>
      </c>
      <c r="AB27" s="266" t="s">
        <v>673</v>
      </c>
    </row>
    <row r="28" spans="1:28" s="85" customFormat="1" ht="60" customHeight="1">
      <c r="A28" s="446" t="s">
        <v>62</v>
      </c>
      <c r="B28" s="456" t="s">
        <v>599</v>
      </c>
      <c r="C28" s="448" t="s">
        <v>777</v>
      </c>
      <c r="D28" s="461" t="s">
        <v>566</v>
      </c>
      <c r="E28" s="86" t="s">
        <v>32</v>
      </c>
      <c r="F28" s="346" t="s">
        <v>686</v>
      </c>
      <c r="G28" s="89" t="s">
        <v>34</v>
      </c>
      <c r="H28" s="89" t="s">
        <v>35</v>
      </c>
      <c r="I28" s="26">
        <v>0.55000000000000004</v>
      </c>
      <c r="J28" s="26">
        <v>0.6</v>
      </c>
      <c r="K28" s="26">
        <v>0.6</v>
      </c>
      <c r="L28" s="26">
        <v>0.7</v>
      </c>
      <c r="M28" s="26">
        <v>0.7</v>
      </c>
      <c r="N28" s="26">
        <v>0.8</v>
      </c>
      <c r="O28" s="26">
        <v>0.8</v>
      </c>
      <c r="P28" s="151">
        <v>0.9</v>
      </c>
      <c r="Q28" s="135">
        <v>0</v>
      </c>
      <c r="R28" s="136">
        <v>0.04</v>
      </c>
      <c r="S28" s="175">
        <f t="shared" si="0"/>
        <v>0</v>
      </c>
      <c r="T28" s="175">
        <f t="shared" si="1"/>
        <v>0</v>
      </c>
      <c r="U28" s="175">
        <f t="shared" si="2"/>
        <v>0</v>
      </c>
      <c r="V28" s="175">
        <f t="shared" si="3"/>
        <v>0</v>
      </c>
      <c r="W28" s="175">
        <f t="shared" si="4"/>
        <v>0</v>
      </c>
      <c r="X28" s="175">
        <f t="shared" si="5"/>
        <v>0</v>
      </c>
      <c r="Y28" s="175">
        <f t="shared" si="6"/>
        <v>0</v>
      </c>
      <c r="Z28" s="137">
        <f t="shared" si="8"/>
        <v>0</v>
      </c>
      <c r="AA28" s="494">
        <f>SUM(Z28:Z31)</f>
        <v>0</v>
      </c>
      <c r="AB28" s="480" t="s">
        <v>673</v>
      </c>
    </row>
    <row r="29" spans="1:28" s="85" customFormat="1" ht="71.099999999999994" customHeight="1">
      <c r="A29" s="453"/>
      <c r="B29" s="457"/>
      <c r="C29" s="449"/>
      <c r="D29" s="462"/>
      <c r="E29" s="87" t="s">
        <v>32</v>
      </c>
      <c r="F29" s="341" t="s">
        <v>691</v>
      </c>
      <c r="G29" s="90" t="s">
        <v>34</v>
      </c>
      <c r="H29" s="90" t="s">
        <v>35</v>
      </c>
      <c r="I29" s="25">
        <v>0.6</v>
      </c>
      <c r="J29" s="25">
        <v>0.6</v>
      </c>
      <c r="K29" s="25">
        <v>0.6</v>
      </c>
      <c r="L29" s="25">
        <v>0.7</v>
      </c>
      <c r="M29" s="25">
        <v>0.7</v>
      </c>
      <c r="N29" s="25">
        <v>0.8</v>
      </c>
      <c r="O29" s="25">
        <v>0.8</v>
      </c>
      <c r="P29" s="158">
        <v>0.9</v>
      </c>
      <c r="Q29" s="138">
        <v>0</v>
      </c>
      <c r="R29" s="139">
        <v>0.04</v>
      </c>
      <c r="S29" s="140">
        <f t="shared" si="0"/>
        <v>0</v>
      </c>
      <c r="T29" s="140">
        <f t="shared" si="1"/>
        <v>0</v>
      </c>
      <c r="U29" s="140">
        <f t="shared" si="2"/>
        <v>0</v>
      </c>
      <c r="V29" s="140">
        <f t="shared" si="3"/>
        <v>0</v>
      </c>
      <c r="W29" s="140">
        <f t="shared" si="4"/>
        <v>0</v>
      </c>
      <c r="X29" s="140">
        <f t="shared" si="5"/>
        <v>0</v>
      </c>
      <c r="Y29" s="140">
        <f t="shared" si="6"/>
        <v>0</v>
      </c>
      <c r="Z29" s="141">
        <f t="shared" si="8"/>
        <v>0</v>
      </c>
      <c r="AA29" s="495"/>
      <c r="AB29" s="480"/>
    </row>
    <row r="30" spans="1:28" s="85" customFormat="1" ht="71.099999999999994" customHeight="1">
      <c r="A30" s="453"/>
      <c r="B30" s="457"/>
      <c r="C30" s="449"/>
      <c r="D30" s="462"/>
      <c r="E30" s="79" t="s">
        <v>54</v>
      </c>
      <c r="F30" s="354" t="s">
        <v>811</v>
      </c>
      <c r="G30" s="79" t="s">
        <v>35</v>
      </c>
      <c r="H30" s="79" t="s">
        <v>35</v>
      </c>
      <c r="I30" s="112" t="s">
        <v>575</v>
      </c>
      <c r="J30" s="112">
        <v>21000</v>
      </c>
      <c r="K30" s="112">
        <v>22000</v>
      </c>
      <c r="L30" s="112">
        <v>23000</v>
      </c>
      <c r="M30" s="112">
        <v>24000</v>
      </c>
      <c r="N30" s="112">
        <v>25000</v>
      </c>
      <c r="O30" s="112">
        <v>26000</v>
      </c>
      <c r="P30" s="159">
        <v>27000</v>
      </c>
      <c r="Q30" s="142">
        <v>0</v>
      </c>
      <c r="R30" s="139">
        <v>0.04</v>
      </c>
      <c r="S30" s="140">
        <f t="shared" si="0"/>
        <v>0</v>
      </c>
      <c r="T30" s="140">
        <f t="shared" si="1"/>
        <v>0</v>
      </c>
      <c r="U30" s="140">
        <f t="shared" si="2"/>
        <v>0</v>
      </c>
      <c r="V30" s="140">
        <f t="shared" si="3"/>
        <v>0</v>
      </c>
      <c r="W30" s="140">
        <f t="shared" si="4"/>
        <v>0</v>
      </c>
      <c r="X30" s="140">
        <f t="shared" si="5"/>
        <v>0</v>
      </c>
      <c r="Y30" s="140">
        <f t="shared" si="6"/>
        <v>0</v>
      </c>
      <c r="Z30" s="141">
        <f t="shared" si="8"/>
        <v>0</v>
      </c>
      <c r="AA30" s="495"/>
      <c r="AB30" s="480"/>
    </row>
    <row r="31" spans="1:28" s="85" customFormat="1" ht="53.25" customHeight="1" thickBot="1">
      <c r="A31" s="458"/>
      <c r="B31" s="459"/>
      <c r="C31" s="460"/>
      <c r="D31" s="463"/>
      <c r="E31" s="80" t="s">
        <v>54</v>
      </c>
      <c r="F31" s="355" t="s">
        <v>687</v>
      </c>
      <c r="G31" s="80" t="s">
        <v>35</v>
      </c>
      <c r="H31" s="80" t="s">
        <v>35</v>
      </c>
      <c r="I31" s="81" t="s">
        <v>576</v>
      </c>
      <c r="J31" s="81">
        <v>1060</v>
      </c>
      <c r="K31" s="81">
        <v>1110</v>
      </c>
      <c r="L31" s="81">
        <v>1160</v>
      </c>
      <c r="M31" s="81">
        <v>1210</v>
      </c>
      <c r="N31" s="81">
        <v>1250</v>
      </c>
      <c r="O31" s="81">
        <v>1310</v>
      </c>
      <c r="P31" s="160">
        <v>1360</v>
      </c>
      <c r="Q31" s="177">
        <v>0</v>
      </c>
      <c r="R31" s="146">
        <v>0.04</v>
      </c>
      <c r="S31" s="147">
        <f t="shared" si="0"/>
        <v>0</v>
      </c>
      <c r="T31" s="147">
        <f t="shared" si="1"/>
        <v>0</v>
      </c>
      <c r="U31" s="147">
        <f t="shared" si="2"/>
        <v>0</v>
      </c>
      <c r="V31" s="147">
        <f t="shared" si="3"/>
        <v>0</v>
      </c>
      <c r="W31" s="147">
        <f t="shared" si="4"/>
        <v>0</v>
      </c>
      <c r="X31" s="147">
        <f t="shared" si="5"/>
        <v>0</v>
      </c>
      <c r="Y31" s="147">
        <f t="shared" si="6"/>
        <v>0</v>
      </c>
      <c r="Z31" s="148">
        <f t="shared" si="8"/>
        <v>0</v>
      </c>
      <c r="AA31" s="496"/>
      <c r="AB31" s="481"/>
    </row>
    <row r="32" spans="1:28">
      <c r="A32" s="16"/>
      <c r="B32" s="16"/>
      <c r="C32" s="16"/>
      <c r="D32" s="16"/>
      <c r="E32" s="16"/>
      <c r="F32" s="16"/>
      <c r="G32" s="16"/>
      <c r="H32" s="16"/>
      <c r="I32" s="16"/>
      <c r="J32" s="16"/>
      <c r="K32" s="16"/>
      <c r="L32" s="16"/>
      <c r="M32" s="16"/>
      <c r="N32" s="16"/>
      <c r="O32" s="16"/>
      <c r="P32" s="16"/>
    </row>
    <row r="33" spans="1:16">
      <c r="A33" s="452"/>
      <c r="B33" s="452"/>
      <c r="C33" s="452"/>
      <c r="D33" s="452"/>
      <c r="E33" s="452"/>
      <c r="F33" s="452"/>
      <c r="G33" s="452"/>
      <c r="H33" s="452"/>
      <c r="I33" s="452"/>
      <c r="J33" s="452"/>
      <c r="K33" s="452"/>
      <c r="L33" s="452"/>
      <c r="M33" s="452"/>
      <c r="N33" s="452"/>
      <c r="O33" s="452"/>
      <c r="P33" s="452"/>
    </row>
  </sheetData>
  <sheetProtection algorithmName="SHA-512" hashValue="WnRKRFSEi91bxHsX85YY7y1u14P5Loh/Jwjl3s9ZyyX7ysewtqPWsxthSmofcYYsufTgSZDLn14AM6q4Id1RrQ==" saltValue="JL2tFDQiQ9CrIYfE1xe/GA==" spinCount="100000" sheet="1" objects="1" scenarios="1"/>
  <mergeCells count="51">
    <mergeCell ref="C3:C4"/>
    <mergeCell ref="D3:D4"/>
    <mergeCell ref="E3:E4"/>
    <mergeCell ref="AB28:AB31"/>
    <mergeCell ref="AB3:AB4"/>
    <mergeCell ref="AB5:AB6"/>
    <mergeCell ref="AB12:AB13"/>
    <mergeCell ref="AB16:AB20"/>
    <mergeCell ref="AB22:AB26"/>
    <mergeCell ref="Q3:Q4"/>
    <mergeCell ref="R3:R4"/>
    <mergeCell ref="S3:Y3"/>
    <mergeCell ref="Z3:Z4"/>
    <mergeCell ref="AA3:AA4"/>
    <mergeCell ref="AA28:AA31"/>
    <mergeCell ref="AA5:AA6"/>
    <mergeCell ref="A2:P2"/>
    <mergeCell ref="A1:P1"/>
    <mergeCell ref="A8:A10"/>
    <mergeCell ref="A11:A13"/>
    <mergeCell ref="B12:B13"/>
    <mergeCell ref="G3:G4"/>
    <mergeCell ref="H3:H4"/>
    <mergeCell ref="I3:I4"/>
    <mergeCell ref="J3:P3"/>
    <mergeCell ref="A5:A7"/>
    <mergeCell ref="B5:B6"/>
    <mergeCell ref="C5:C6"/>
    <mergeCell ref="F3:F4"/>
    <mergeCell ref="E5:E6"/>
    <mergeCell ref="A3:A4"/>
    <mergeCell ref="B3:B4"/>
    <mergeCell ref="A33:P33"/>
    <mergeCell ref="C16:C20"/>
    <mergeCell ref="D16:D20"/>
    <mergeCell ref="A22:A27"/>
    <mergeCell ref="B22:B26"/>
    <mergeCell ref="C22:C26"/>
    <mergeCell ref="D22:D26"/>
    <mergeCell ref="A16:A21"/>
    <mergeCell ref="B16:B20"/>
    <mergeCell ref="A28:A31"/>
    <mergeCell ref="B28:B31"/>
    <mergeCell ref="C28:C31"/>
    <mergeCell ref="D28:D31"/>
    <mergeCell ref="AA12:AA13"/>
    <mergeCell ref="AA16:AA20"/>
    <mergeCell ref="AA22:AA26"/>
    <mergeCell ref="A14:A15"/>
    <mergeCell ref="D5:D6"/>
    <mergeCell ref="D12:D13"/>
  </mergeCells>
  <pageMargins left="0.7" right="0.7" top="0.75" bottom="0.75" header="0.3" footer="0.3"/>
  <pageSetup orientation="portrait" horizontalDpi="1200" verticalDpi="1200" r:id="rId1"/>
  <ignoredErrors>
    <ignoredError sqref="Z14 Z21 Z27 Z31 AA28 Z8 AA7 AA22 Z5 Z6 Z7 T7:Y7 Z13 Z16 Z17 Z18 Z19 Z20 Z22 Z24 Z25 Z26 Z28 Z29 Z30 T26:Y26 T24:X24"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E5:E31</xm:sqref>
        </x14:dataValidation>
        <x14:dataValidation type="list" allowBlank="1" showInputMessage="1" showErrorMessage="1">
          <x14:formula1>
            <xm:f>Hoja2!$C$15:$C$17</xm:f>
          </x14:formula1>
          <xm:sqref>G5:G31</xm:sqref>
        </x14:dataValidation>
        <x14:dataValidation type="list" allowBlank="1" showInputMessage="1" showErrorMessage="1">
          <x14:formula1>
            <xm:f>Hoja2!$E$15:$E$26</xm:f>
          </x14:formula1>
          <xm:sqref>AB7:AB21 AB27:AB31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80" zoomScaleNormal="80" zoomScalePageLayoutView="50" workbookViewId="0">
      <selection sqref="A1:P1"/>
    </sheetView>
  </sheetViews>
  <sheetFormatPr baseColWidth="10" defaultColWidth="11" defaultRowHeight="15.75"/>
  <cols>
    <col min="1" max="1" width="28.125" customWidth="1"/>
    <col min="2" max="2" width="46" customWidth="1"/>
    <col min="3" max="3" width="22.125" customWidth="1"/>
    <col min="4" max="4" width="11" customWidth="1"/>
    <col min="5" max="5" width="13.5" customWidth="1"/>
    <col min="6" max="6" width="32.5" customWidth="1"/>
    <col min="7" max="7" width="14.875" customWidth="1"/>
    <col min="8" max="8" width="20"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6.5" thickBot="1">
      <c r="A2" s="464"/>
      <c r="B2" s="464"/>
      <c r="C2" s="464"/>
      <c r="D2" s="464"/>
      <c r="E2" s="464"/>
      <c r="F2" s="464"/>
      <c r="G2" s="464"/>
      <c r="H2" s="464"/>
      <c r="I2" s="464"/>
      <c r="J2" s="464"/>
      <c r="K2" s="464"/>
      <c r="L2" s="464"/>
      <c r="M2" s="464"/>
      <c r="N2" s="464"/>
      <c r="O2" s="464"/>
      <c r="P2" s="465"/>
      <c r="R2" s="324">
        <f>R5+1</f>
        <v>1.04</v>
      </c>
    </row>
    <row r="3" spans="1:28"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28"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ht="54.75" customHeight="1">
      <c r="A5" s="446" t="s">
        <v>64</v>
      </c>
      <c r="B5" s="504" t="s">
        <v>65</v>
      </c>
      <c r="C5" s="506" t="s">
        <v>746</v>
      </c>
      <c r="D5" s="506" t="s">
        <v>565</v>
      </c>
      <c r="E5" s="96" t="s">
        <v>37</v>
      </c>
      <c r="F5" s="356" t="s">
        <v>710</v>
      </c>
      <c r="G5" s="96" t="s">
        <v>34</v>
      </c>
      <c r="H5" s="93" t="s">
        <v>35</v>
      </c>
      <c r="I5" s="96">
        <v>6</v>
      </c>
      <c r="J5" s="96">
        <v>8</v>
      </c>
      <c r="K5" s="96">
        <v>12</v>
      </c>
      <c r="L5" s="96">
        <v>14</v>
      </c>
      <c r="M5" s="96">
        <v>16</v>
      </c>
      <c r="N5" s="96">
        <v>18</v>
      </c>
      <c r="O5" s="96">
        <v>20</v>
      </c>
      <c r="P5" s="166">
        <v>22</v>
      </c>
      <c r="Q5" s="135">
        <v>40000000</v>
      </c>
      <c r="R5" s="136">
        <v>0.04</v>
      </c>
      <c r="S5" s="140">
        <f>IF(J5&lt;&gt;0,Q5,0)</f>
        <v>40000000</v>
      </c>
      <c r="T5" s="140">
        <f t="shared" ref="T5:T29" si="0">IF(K5&lt;&gt;0,(IF(S5&lt;&gt;0,(S5*$R$2),($Q5*$R$2))),0)</f>
        <v>41600000</v>
      </c>
      <c r="U5" s="140">
        <f t="shared" ref="U5:U29" si="1">IF(L5&lt;&gt;0,(IF(T5&lt;&gt;0,(T5*$R$2),(($Q5*$R$2)*$R$2))),0)</f>
        <v>43264000</v>
      </c>
      <c r="V5" s="140">
        <f t="shared" ref="V5:V29" si="2">IF(M5&lt;&gt;0,(IF(U5&lt;&gt;0,(U5*$R$2),(($Q5*$R$2)*$R$2*$R$2))),0)</f>
        <v>44994560</v>
      </c>
      <c r="W5" s="140">
        <f t="shared" ref="W5:W29" si="3">IF(N5&lt;&gt;0,(IF(V5&lt;&gt;0,(V5*$R$2),(($Q5*$R$2)*$R$2*$R$2*$R$2))),0)</f>
        <v>46794342.399999999</v>
      </c>
      <c r="X5" s="140">
        <f t="shared" ref="X5:X29" si="4">IF(O5&lt;&gt;0,(IF(W5&lt;&gt;0,(W5*$R$2),(($Q5*$R$2)*$R$2*$R$2*$R$2*$R$2))),0)</f>
        <v>48666116.096000001</v>
      </c>
      <c r="Y5" s="140">
        <f t="shared" ref="Y5:Y29" si="5">IF(P5&lt;&gt;0,(IF(X5&lt;&gt;0,(X5*$R$2),(($Q5*$R$2)*$R$2*$R$2*$R$2*$R$2*$R$2))),0)</f>
        <v>50612760.739840001</v>
      </c>
      <c r="Z5" s="137">
        <f>SUM(S5:Y5)</f>
        <v>315931779.23583996</v>
      </c>
      <c r="AA5" s="494">
        <f>SUM(Z5:Z6)</f>
        <v>315931779.23583996</v>
      </c>
      <c r="AB5" s="517" t="s">
        <v>663</v>
      </c>
    </row>
    <row r="6" spans="1:28" ht="56.25" customHeight="1">
      <c r="A6" s="453"/>
      <c r="B6" s="505"/>
      <c r="C6" s="507"/>
      <c r="D6" s="507"/>
      <c r="E6" s="97" t="s">
        <v>37</v>
      </c>
      <c r="F6" s="344" t="s">
        <v>711</v>
      </c>
      <c r="G6" s="97" t="s">
        <v>35</v>
      </c>
      <c r="H6" s="94" t="s">
        <v>35</v>
      </c>
      <c r="I6" s="97">
        <v>1</v>
      </c>
      <c r="J6" s="97">
        <v>2</v>
      </c>
      <c r="K6" s="97">
        <v>3</v>
      </c>
      <c r="L6" s="97">
        <v>4</v>
      </c>
      <c r="M6" s="97">
        <v>5</v>
      </c>
      <c r="N6" s="97">
        <v>6</v>
      </c>
      <c r="O6" s="97">
        <v>7</v>
      </c>
      <c r="P6" s="169">
        <v>8</v>
      </c>
      <c r="Q6" s="138">
        <v>0</v>
      </c>
      <c r="R6" s="139">
        <v>0.04</v>
      </c>
      <c r="S6" s="140">
        <f t="shared" ref="S6:S29" si="6">IF(J6&lt;&gt;0,Q6,0)</f>
        <v>0</v>
      </c>
      <c r="T6" s="140">
        <f t="shared" si="0"/>
        <v>0</v>
      </c>
      <c r="U6" s="140">
        <f t="shared" si="1"/>
        <v>0</v>
      </c>
      <c r="V6" s="140">
        <f t="shared" si="2"/>
        <v>0</v>
      </c>
      <c r="W6" s="140">
        <f t="shared" si="3"/>
        <v>0</v>
      </c>
      <c r="X6" s="140">
        <f t="shared" si="4"/>
        <v>0</v>
      </c>
      <c r="Y6" s="140">
        <f t="shared" si="5"/>
        <v>0</v>
      </c>
      <c r="Z6" s="224">
        <f t="shared" ref="Z6:Z29" si="7">SUM(S6:Y6)</f>
        <v>0</v>
      </c>
      <c r="AA6" s="427"/>
      <c r="AB6" s="518"/>
    </row>
    <row r="7" spans="1:28" ht="82.5" customHeight="1">
      <c r="A7" s="453"/>
      <c r="B7" s="505" t="s">
        <v>474</v>
      </c>
      <c r="C7" s="507" t="s">
        <v>812</v>
      </c>
      <c r="D7" s="507" t="s">
        <v>565</v>
      </c>
      <c r="E7" s="97" t="s">
        <v>37</v>
      </c>
      <c r="F7" s="344" t="s">
        <v>419</v>
      </c>
      <c r="G7" s="97" t="s">
        <v>35</v>
      </c>
      <c r="H7" s="94" t="s">
        <v>35</v>
      </c>
      <c r="I7" s="97">
        <v>4</v>
      </c>
      <c r="J7" s="97">
        <v>6</v>
      </c>
      <c r="K7" s="97">
        <v>8</v>
      </c>
      <c r="L7" s="97">
        <v>10</v>
      </c>
      <c r="M7" s="97">
        <v>12</v>
      </c>
      <c r="N7" s="97">
        <v>14</v>
      </c>
      <c r="O7" s="97">
        <v>16</v>
      </c>
      <c r="P7" s="169">
        <v>18</v>
      </c>
      <c r="Q7" s="138">
        <v>0</v>
      </c>
      <c r="R7" s="139">
        <v>0.04</v>
      </c>
      <c r="S7" s="140">
        <f t="shared" si="6"/>
        <v>0</v>
      </c>
      <c r="T7" s="140">
        <f t="shared" si="0"/>
        <v>0</v>
      </c>
      <c r="U7" s="140">
        <f t="shared" si="1"/>
        <v>0</v>
      </c>
      <c r="V7" s="140">
        <f t="shared" si="2"/>
        <v>0</v>
      </c>
      <c r="W7" s="140">
        <f t="shared" si="3"/>
        <v>0</v>
      </c>
      <c r="X7" s="140">
        <f t="shared" si="4"/>
        <v>0</v>
      </c>
      <c r="Y7" s="140">
        <f t="shared" si="5"/>
        <v>0</v>
      </c>
      <c r="Z7" s="224">
        <f t="shared" si="7"/>
        <v>0</v>
      </c>
      <c r="AA7" s="427">
        <f>SUM(Z7:Z8)</f>
        <v>394914724.04480004</v>
      </c>
      <c r="AB7" s="517" t="s">
        <v>663</v>
      </c>
    </row>
    <row r="8" spans="1:28" ht="71.25" customHeight="1">
      <c r="A8" s="453"/>
      <c r="B8" s="505"/>
      <c r="C8" s="507"/>
      <c r="D8" s="507"/>
      <c r="E8" s="97" t="s">
        <v>37</v>
      </c>
      <c r="F8" s="344" t="s">
        <v>66</v>
      </c>
      <c r="G8" s="97" t="s">
        <v>35</v>
      </c>
      <c r="H8" s="94" t="s">
        <v>35</v>
      </c>
      <c r="I8" s="97">
        <v>2</v>
      </c>
      <c r="J8" s="97">
        <v>4</v>
      </c>
      <c r="K8" s="97">
        <v>4</v>
      </c>
      <c r="L8" s="97">
        <v>5</v>
      </c>
      <c r="M8" s="97">
        <v>5</v>
      </c>
      <c r="N8" s="97">
        <v>6</v>
      </c>
      <c r="O8" s="97">
        <v>6</v>
      </c>
      <c r="P8" s="169">
        <v>7</v>
      </c>
      <c r="Q8" s="142">
        <v>50000000</v>
      </c>
      <c r="R8" s="139">
        <v>0.04</v>
      </c>
      <c r="S8" s="140">
        <f t="shared" si="6"/>
        <v>50000000</v>
      </c>
      <c r="T8" s="140">
        <f t="shared" si="0"/>
        <v>52000000</v>
      </c>
      <c r="U8" s="140">
        <f t="shared" si="1"/>
        <v>54080000</v>
      </c>
      <c r="V8" s="140">
        <f t="shared" si="2"/>
        <v>56243200</v>
      </c>
      <c r="W8" s="140">
        <f t="shared" si="3"/>
        <v>58492928</v>
      </c>
      <c r="X8" s="140">
        <f t="shared" si="4"/>
        <v>60832645.120000005</v>
      </c>
      <c r="Y8" s="140">
        <f t="shared" si="5"/>
        <v>63265950.924800009</v>
      </c>
      <c r="Z8" s="224">
        <f t="shared" si="7"/>
        <v>394914724.04480004</v>
      </c>
      <c r="AA8" s="427"/>
      <c r="AB8" s="518"/>
    </row>
    <row r="9" spans="1:28" ht="55.5" customHeight="1">
      <c r="A9" s="453"/>
      <c r="B9" s="505" t="s">
        <v>363</v>
      </c>
      <c r="C9" s="507" t="s">
        <v>747</v>
      </c>
      <c r="D9" s="507" t="s">
        <v>565</v>
      </c>
      <c r="E9" s="97" t="s">
        <v>37</v>
      </c>
      <c r="F9" s="344" t="s">
        <v>67</v>
      </c>
      <c r="G9" s="97" t="s">
        <v>34</v>
      </c>
      <c r="H9" s="94" t="s">
        <v>35</v>
      </c>
      <c r="I9" s="97">
        <v>4</v>
      </c>
      <c r="J9" s="97">
        <v>6</v>
      </c>
      <c r="K9" s="97">
        <v>6</v>
      </c>
      <c r="L9" s="97">
        <v>8</v>
      </c>
      <c r="M9" s="97">
        <v>8</v>
      </c>
      <c r="N9" s="97">
        <v>10</v>
      </c>
      <c r="O9" s="97">
        <v>10</v>
      </c>
      <c r="P9" s="169">
        <v>12</v>
      </c>
      <c r="Q9" s="138">
        <v>0</v>
      </c>
      <c r="R9" s="139">
        <v>0.04</v>
      </c>
      <c r="S9" s="140">
        <f t="shared" si="6"/>
        <v>0</v>
      </c>
      <c r="T9" s="140">
        <f t="shared" si="0"/>
        <v>0</v>
      </c>
      <c r="U9" s="140">
        <f t="shared" si="1"/>
        <v>0</v>
      </c>
      <c r="V9" s="140">
        <f t="shared" si="2"/>
        <v>0</v>
      </c>
      <c r="W9" s="140">
        <f t="shared" si="3"/>
        <v>0</v>
      </c>
      <c r="X9" s="140">
        <f t="shared" si="4"/>
        <v>0</v>
      </c>
      <c r="Y9" s="140">
        <f t="shared" si="5"/>
        <v>0</v>
      </c>
      <c r="Z9" s="224">
        <f t="shared" si="7"/>
        <v>0</v>
      </c>
      <c r="AA9" s="427">
        <f>SUM(Z9:Z12)</f>
        <v>473897668.85376</v>
      </c>
      <c r="AB9" s="486" t="s">
        <v>663</v>
      </c>
    </row>
    <row r="10" spans="1:28" ht="87.75" customHeight="1">
      <c r="A10" s="453"/>
      <c r="B10" s="505"/>
      <c r="C10" s="507"/>
      <c r="D10" s="507"/>
      <c r="E10" s="97" t="s">
        <v>37</v>
      </c>
      <c r="F10" s="344" t="s">
        <v>68</v>
      </c>
      <c r="G10" s="97" t="s">
        <v>34</v>
      </c>
      <c r="H10" s="94" t="s">
        <v>35</v>
      </c>
      <c r="I10" s="97">
        <v>0</v>
      </c>
      <c r="J10" s="97">
        <v>1</v>
      </c>
      <c r="K10" s="97">
        <v>2</v>
      </c>
      <c r="L10" s="97">
        <v>3</v>
      </c>
      <c r="M10" s="97">
        <v>4</v>
      </c>
      <c r="N10" s="97">
        <v>5</v>
      </c>
      <c r="O10" s="97">
        <v>6</v>
      </c>
      <c r="P10" s="169">
        <v>7</v>
      </c>
      <c r="Q10" s="142">
        <v>0</v>
      </c>
      <c r="R10" s="139">
        <v>0.04</v>
      </c>
      <c r="S10" s="140">
        <f t="shared" si="6"/>
        <v>0</v>
      </c>
      <c r="T10" s="140">
        <f t="shared" si="0"/>
        <v>0</v>
      </c>
      <c r="U10" s="140">
        <f t="shared" si="1"/>
        <v>0</v>
      </c>
      <c r="V10" s="140">
        <f t="shared" si="2"/>
        <v>0</v>
      </c>
      <c r="W10" s="140">
        <f t="shared" si="3"/>
        <v>0</v>
      </c>
      <c r="X10" s="140">
        <f t="shared" si="4"/>
        <v>0</v>
      </c>
      <c r="Y10" s="140">
        <f t="shared" si="5"/>
        <v>0</v>
      </c>
      <c r="Z10" s="224">
        <f t="shared" si="7"/>
        <v>0</v>
      </c>
      <c r="AA10" s="427"/>
      <c r="AB10" s="480"/>
    </row>
    <row r="11" spans="1:28" ht="72.75" customHeight="1">
      <c r="A11" s="453"/>
      <c r="B11" s="505"/>
      <c r="C11" s="507"/>
      <c r="D11" s="507"/>
      <c r="E11" s="97" t="s">
        <v>37</v>
      </c>
      <c r="F11" s="344" t="s">
        <v>69</v>
      </c>
      <c r="G11" s="97" t="s">
        <v>35</v>
      </c>
      <c r="H11" s="94" t="s">
        <v>35</v>
      </c>
      <c r="I11" s="97">
        <v>0</v>
      </c>
      <c r="J11" s="97">
        <v>1</v>
      </c>
      <c r="K11" s="97">
        <v>2</v>
      </c>
      <c r="L11" s="97">
        <v>3</v>
      </c>
      <c r="M11" s="97">
        <v>4</v>
      </c>
      <c r="N11" s="97">
        <v>5</v>
      </c>
      <c r="O11" s="97">
        <v>6</v>
      </c>
      <c r="P11" s="169">
        <v>7</v>
      </c>
      <c r="Q11" s="138">
        <v>30000000</v>
      </c>
      <c r="R11" s="139">
        <v>0.04</v>
      </c>
      <c r="S11" s="140">
        <f t="shared" si="6"/>
        <v>30000000</v>
      </c>
      <c r="T11" s="140">
        <f t="shared" si="0"/>
        <v>31200000</v>
      </c>
      <c r="U11" s="140">
        <f t="shared" si="1"/>
        <v>32448000</v>
      </c>
      <c r="V11" s="140">
        <f t="shared" si="2"/>
        <v>33745920</v>
      </c>
      <c r="W11" s="140">
        <f t="shared" si="3"/>
        <v>35095756.800000004</v>
      </c>
      <c r="X11" s="140">
        <f t="shared" si="4"/>
        <v>36499587.072000004</v>
      </c>
      <c r="Y11" s="140">
        <f t="shared" si="5"/>
        <v>37959570.554880008</v>
      </c>
      <c r="Z11" s="224">
        <f t="shared" si="7"/>
        <v>236948834.42688</v>
      </c>
      <c r="AA11" s="427"/>
      <c r="AB11" s="480"/>
    </row>
    <row r="12" spans="1:28" ht="75.75" customHeight="1">
      <c r="A12" s="453"/>
      <c r="B12" s="505"/>
      <c r="C12" s="507"/>
      <c r="D12" s="507"/>
      <c r="E12" s="97" t="s">
        <v>37</v>
      </c>
      <c r="F12" s="344" t="s">
        <v>70</v>
      </c>
      <c r="G12" s="97" t="s">
        <v>34</v>
      </c>
      <c r="H12" s="94" t="s">
        <v>35</v>
      </c>
      <c r="I12" s="97">
        <v>0</v>
      </c>
      <c r="J12" s="97">
        <v>1</v>
      </c>
      <c r="K12" s="97">
        <v>2</v>
      </c>
      <c r="L12" s="97">
        <v>3</v>
      </c>
      <c r="M12" s="97">
        <v>4</v>
      </c>
      <c r="N12" s="97">
        <v>5</v>
      </c>
      <c r="O12" s="97">
        <v>6</v>
      </c>
      <c r="P12" s="169">
        <v>7</v>
      </c>
      <c r="Q12" s="138">
        <v>30000000</v>
      </c>
      <c r="R12" s="139">
        <v>0.04</v>
      </c>
      <c r="S12" s="140">
        <f t="shared" si="6"/>
        <v>30000000</v>
      </c>
      <c r="T12" s="140">
        <f t="shared" si="0"/>
        <v>31200000</v>
      </c>
      <c r="U12" s="140">
        <f t="shared" si="1"/>
        <v>32448000</v>
      </c>
      <c r="V12" s="140">
        <f t="shared" si="2"/>
        <v>33745920</v>
      </c>
      <c r="W12" s="140">
        <f t="shared" si="3"/>
        <v>35095756.800000004</v>
      </c>
      <c r="X12" s="140">
        <f t="shared" si="4"/>
        <v>36499587.072000004</v>
      </c>
      <c r="Y12" s="140">
        <f t="shared" si="5"/>
        <v>37959570.554880008</v>
      </c>
      <c r="Z12" s="224">
        <f t="shared" si="7"/>
        <v>236948834.42688</v>
      </c>
      <c r="AA12" s="427"/>
      <c r="AB12" s="485"/>
    </row>
    <row r="13" spans="1:28" ht="90" customHeight="1">
      <c r="A13" s="453"/>
      <c r="B13" s="508" t="s">
        <v>71</v>
      </c>
      <c r="C13" s="97" t="s">
        <v>748</v>
      </c>
      <c r="D13" s="510" t="s">
        <v>565</v>
      </c>
      <c r="E13" s="97" t="s">
        <v>37</v>
      </c>
      <c r="F13" s="344" t="s">
        <v>72</v>
      </c>
      <c r="G13" s="97" t="s">
        <v>35</v>
      </c>
      <c r="H13" s="94" t="s">
        <v>35</v>
      </c>
      <c r="I13" s="97">
        <v>3</v>
      </c>
      <c r="J13" s="97">
        <v>4</v>
      </c>
      <c r="K13" s="97">
        <v>5</v>
      </c>
      <c r="L13" s="97">
        <v>6</v>
      </c>
      <c r="M13" s="97">
        <v>7</v>
      </c>
      <c r="N13" s="97">
        <v>8</v>
      </c>
      <c r="O13" s="97">
        <v>9</v>
      </c>
      <c r="P13" s="169">
        <v>10</v>
      </c>
      <c r="Q13" s="138">
        <v>20000000</v>
      </c>
      <c r="R13" s="139">
        <v>0.04</v>
      </c>
      <c r="S13" s="140">
        <f t="shared" si="6"/>
        <v>20000000</v>
      </c>
      <c r="T13" s="140">
        <f t="shared" si="0"/>
        <v>20800000</v>
      </c>
      <c r="U13" s="140">
        <f t="shared" si="1"/>
        <v>21632000</v>
      </c>
      <c r="V13" s="140">
        <f t="shared" si="2"/>
        <v>22497280</v>
      </c>
      <c r="W13" s="140">
        <f t="shared" si="3"/>
        <v>23397171.199999999</v>
      </c>
      <c r="X13" s="140">
        <f t="shared" si="4"/>
        <v>24333058.048</v>
      </c>
      <c r="Y13" s="140">
        <f t="shared" si="5"/>
        <v>25306380.36992</v>
      </c>
      <c r="Z13" s="224">
        <f t="shared" si="7"/>
        <v>157965889.61791998</v>
      </c>
      <c r="AA13" s="427">
        <f>SUM(Z13:Z14)</f>
        <v>394914724.04479998</v>
      </c>
      <c r="AB13" s="486" t="s">
        <v>663</v>
      </c>
    </row>
    <row r="14" spans="1:28" ht="96" customHeight="1" thickBot="1">
      <c r="A14" s="447"/>
      <c r="B14" s="509"/>
      <c r="C14" s="95" t="s">
        <v>746</v>
      </c>
      <c r="D14" s="511"/>
      <c r="E14" s="95" t="s">
        <v>37</v>
      </c>
      <c r="F14" s="357" t="s">
        <v>420</v>
      </c>
      <c r="G14" s="95" t="s">
        <v>35</v>
      </c>
      <c r="H14" s="103" t="s">
        <v>35</v>
      </c>
      <c r="I14" s="95">
        <v>2</v>
      </c>
      <c r="J14" s="95">
        <v>3</v>
      </c>
      <c r="K14" s="95">
        <v>4</v>
      </c>
      <c r="L14" s="95">
        <v>5</v>
      </c>
      <c r="M14" s="95">
        <v>6</v>
      </c>
      <c r="N14" s="95">
        <v>7</v>
      </c>
      <c r="O14" s="95">
        <v>8</v>
      </c>
      <c r="P14" s="161">
        <v>9</v>
      </c>
      <c r="Q14" s="162">
        <v>30000000</v>
      </c>
      <c r="R14" s="144">
        <v>0.04</v>
      </c>
      <c r="S14" s="147">
        <f t="shared" si="6"/>
        <v>30000000</v>
      </c>
      <c r="T14" s="147">
        <f t="shared" si="0"/>
        <v>31200000</v>
      </c>
      <c r="U14" s="147">
        <f t="shared" si="1"/>
        <v>32448000</v>
      </c>
      <c r="V14" s="147">
        <f t="shared" si="2"/>
        <v>33745920</v>
      </c>
      <c r="W14" s="147">
        <f t="shared" si="3"/>
        <v>35095756.800000004</v>
      </c>
      <c r="X14" s="147">
        <f t="shared" si="4"/>
        <v>36499587.072000004</v>
      </c>
      <c r="Y14" s="147">
        <f t="shared" si="5"/>
        <v>37959570.554880008</v>
      </c>
      <c r="Z14" s="249">
        <f t="shared" si="7"/>
        <v>236948834.42688</v>
      </c>
      <c r="AA14" s="497"/>
      <c r="AB14" s="481"/>
    </row>
    <row r="15" spans="1:28" ht="118.5" customHeight="1">
      <c r="A15" s="446" t="s">
        <v>73</v>
      </c>
      <c r="B15" s="504" t="s">
        <v>829</v>
      </c>
      <c r="C15" s="506" t="s">
        <v>746</v>
      </c>
      <c r="D15" s="506" t="s">
        <v>541</v>
      </c>
      <c r="E15" s="96" t="s">
        <v>37</v>
      </c>
      <c r="F15" s="356" t="s">
        <v>712</v>
      </c>
      <c r="G15" s="96" t="s">
        <v>34</v>
      </c>
      <c r="H15" s="93" t="s">
        <v>35</v>
      </c>
      <c r="I15" s="96">
        <v>6</v>
      </c>
      <c r="J15" s="96">
        <v>10</v>
      </c>
      <c r="K15" s="96">
        <v>14</v>
      </c>
      <c r="L15" s="96">
        <v>16</v>
      </c>
      <c r="M15" s="96">
        <v>20</v>
      </c>
      <c r="N15" s="96">
        <v>24</v>
      </c>
      <c r="O15" s="96">
        <v>28</v>
      </c>
      <c r="P15" s="166">
        <v>32</v>
      </c>
      <c r="Q15" s="135">
        <v>0</v>
      </c>
      <c r="R15" s="136">
        <v>0.04</v>
      </c>
      <c r="S15" s="175">
        <f t="shared" si="6"/>
        <v>0</v>
      </c>
      <c r="T15" s="175">
        <f t="shared" si="0"/>
        <v>0</v>
      </c>
      <c r="U15" s="175">
        <f t="shared" si="1"/>
        <v>0</v>
      </c>
      <c r="V15" s="175">
        <f t="shared" si="2"/>
        <v>0</v>
      </c>
      <c r="W15" s="175">
        <f t="shared" si="3"/>
        <v>0</v>
      </c>
      <c r="X15" s="175">
        <f t="shared" si="4"/>
        <v>0</v>
      </c>
      <c r="Y15" s="175">
        <f t="shared" si="5"/>
        <v>0</v>
      </c>
      <c r="Z15" s="225">
        <f t="shared" si="7"/>
        <v>0</v>
      </c>
      <c r="AA15" s="420">
        <f>SUM(Z15:Z16)</f>
        <v>0</v>
      </c>
      <c r="AB15" s="480" t="s">
        <v>673</v>
      </c>
    </row>
    <row r="16" spans="1:28" ht="72.75" customHeight="1">
      <c r="A16" s="453"/>
      <c r="B16" s="505"/>
      <c r="C16" s="507"/>
      <c r="D16" s="507"/>
      <c r="E16" s="97" t="s">
        <v>37</v>
      </c>
      <c r="F16" s="344" t="s">
        <v>713</v>
      </c>
      <c r="G16" s="97" t="s">
        <v>34</v>
      </c>
      <c r="H16" s="94" t="s">
        <v>35</v>
      </c>
      <c r="I16" s="97">
        <v>6</v>
      </c>
      <c r="J16" s="97">
        <v>10</v>
      </c>
      <c r="K16" s="97">
        <v>14</v>
      </c>
      <c r="L16" s="97">
        <v>16</v>
      </c>
      <c r="M16" s="97">
        <v>20</v>
      </c>
      <c r="N16" s="97">
        <v>24</v>
      </c>
      <c r="O16" s="97">
        <v>28</v>
      </c>
      <c r="P16" s="169">
        <v>32</v>
      </c>
      <c r="Q16" s="138">
        <v>0</v>
      </c>
      <c r="R16" s="139">
        <v>0.04</v>
      </c>
      <c r="S16" s="140">
        <f t="shared" si="6"/>
        <v>0</v>
      </c>
      <c r="T16" s="140">
        <f t="shared" si="0"/>
        <v>0</v>
      </c>
      <c r="U16" s="140">
        <f t="shared" si="1"/>
        <v>0</v>
      </c>
      <c r="V16" s="140">
        <f t="shared" si="2"/>
        <v>0</v>
      </c>
      <c r="W16" s="140">
        <f t="shared" si="3"/>
        <v>0</v>
      </c>
      <c r="X16" s="140">
        <f t="shared" si="4"/>
        <v>0</v>
      </c>
      <c r="Y16" s="140">
        <f t="shared" si="5"/>
        <v>0</v>
      </c>
      <c r="Z16" s="224">
        <f t="shared" si="7"/>
        <v>0</v>
      </c>
      <c r="AA16" s="427"/>
      <c r="AB16" s="485"/>
    </row>
    <row r="17" spans="1:28" ht="55.5" customHeight="1">
      <c r="A17" s="453"/>
      <c r="B17" s="505" t="s">
        <v>74</v>
      </c>
      <c r="C17" s="507" t="s">
        <v>749</v>
      </c>
      <c r="D17" s="507" t="s">
        <v>541</v>
      </c>
      <c r="E17" s="97" t="s">
        <v>37</v>
      </c>
      <c r="F17" s="344" t="s">
        <v>830</v>
      </c>
      <c r="G17" s="97" t="s">
        <v>35</v>
      </c>
      <c r="H17" s="94" t="s">
        <v>35</v>
      </c>
      <c r="I17" s="97">
        <v>2</v>
      </c>
      <c r="J17" s="97">
        <v>4</v>
      </c>
      <c r="K17" s="97">
        <v>6</v>
      </c>
      <c r="L17" s="97">
        <v>8</v>
      </c>
      <c r="M17" s="97">
        <v>10</v>
      </c>
      <c r="N17" s="97">
        <v>12</v>
      </c>
      <c r="O17" s="97">
        <v>14</v>
      </c>
      <c r="P17" s="169">
        <v>16</v>
      </c>
      <c r="Q17" s="138">
        <v>0</v>
      </c>
      <c r="R17" s="139">
        <v>0.04</v>
      </c>
      <c r="S17" s="140">
        <f t="shared" si="6"/>
        <v>0</v>
      </c>
      <c r="T17" s="140">
        <f t="shared" si="0"/>
        <v>0</v>
      </c>
      <c r="U17" s="140">
        <f t="shared" si="1"/>
        <v>0</v>
      </c>
      <c r="V17" s="140">
        <f t="shared" si="2"/>
        <v>0</v>
      </c>
      <c r="W17" s="140">
        <f t="shared" si="3"/>
        <v>0</v>
      </c>
      <c r="X17" s="140">
        <f t="shared" si="4"/>
        <v>0</v>
      </c>
      <c r="Y17" s="140">
        <f t="shared" si="5"/>
        <v>0</v>
      </c>
      <c r="Z17" s="224">
        <f t="shared" si="7"/>
        <v>0</v>
      </c>
      <c r="AA17" s="427">
        <f>SUM(Z17:Z19)</f>
        <v>0</v>
      </c>
      <c r="AB17" s="486" t="s">
        <v>673</v>
      </c>
    </row>
    <row r="18" spans="1:28" ht="81.75" customHeight="1">
      <c r="A18" s="453"/>
      <c r="B18" s="505"/>
      <c r="C18" s="507"/>
      <c r="D18" s="507"/>
      <c r="E18" s="97" t="s">
        <v>37</v>
      </c>
      <c r="F18" s="344" t="s">
        <v>75</v>
      </c>
      <c r="G18" s="97" t="s">
        <v>35</v>
      </c>
      <c r="H18" s="94" t="s">
        <v>35</v>
      </c>
      <c r="I18" s="97">
        <v>4</v>
      </c>
      <c r="J18" s="97">
        <v>6</v>
      </c>
      <c r="K18" s="97">
        <v>8</v>
      </c>
      <c r="L18" s="97">
        <v>10</v>
      </c>
      <c r="M18" s="97">
        <v>12</v>
      </c>
      <c r="N18" s="97">
        <v>14</v>
      </c>
      <c r="O18" s="97">
        <v>16</v>
      </c>
      <c r="P18" s="169">
        <v>18</v>
      </c>
      <c r="Q18" s="138">
        <v>0</v>
      </c>
      <c r="R18" s="139">
        <v>0.04</v>
      </c>
      <c r="S18" s="140">
        <f t="shared" si="6"/>
        <v>0</v>
      </c>
      <c r="T18" s="140">
        <f t="shared" si="0"/>
        <v>0</v>
      </c>
      <c r="U18" s="140">
        <f t="shared" si="1"/>
        <v>0</v>
      </c>
      <c r="V18" s="140">
        <f t="shared" si="2"/>
        <v>0</v>
      </c>
      <c r="W18" s="140">
        <f t="shared" si="3"/>
        <v>0</v>
      </c>
      <c r="X18" s="140">
        <f t="shared" si="4"/>
        <v>0</v>
      </c>
      <c r="Y18" s="140">
        <f t="shared" si="5"/>
        <v>0</v>
      </c>
      <c r="Z18" s="224">
        <f t="shared" si="7"/>
        <v>0</v>
      </c>
      <c r="AA18" s="427"/>
      <c r="AB18" s="480"/>
    </row>
    <row r="19" spans="1:28" ht="36" customHeight="1">
      <c r="A19" s="453"/>
      <c r="B19" s="505"/>
      <c r="C19" s="507"/>
      <c r="D19" s="507"/>
      <c r="E19" s="97" t="s">
        <v>37</v>
      </c>
      <c r="F19" s="344" t="s">
        <v>76</v>
      </c>
      <c r="G19" s="97" t="s">
        <v>35</v>
      </c>
      <c r="H19" s="94" t="s">
        <v>35</v>
      </c>
      <c r="I19" s="97">
        <v>2</v>
      </c>
      <c r="J19" s="97">
        <v>3</v>
      </c>
      <c r="K19" s="97">
        <v>4</v>
      </c>
      <c r="L19" s="97">
        <v>5</v>
      </c>
      <c r="M19" s="97">
        <v>6</v>
      </c>
      <c r="N19" s="97">
        <v>7</v>
      </c>
      <c r="O19" s="97">
        <v>8</v>
      </c>
      <c r="P19" s="169">
        <v>9</v>
      </c>
      <c r="Q19" s="138">
        <v>0</v>
      </c>
      <c r="R19" s="139">
        <v>0.04</v>
      </c>
      <c r="S19" s="140">
        <f t="shared" si="6"/>
        <v>0</v>
      </c>
      <c r="T19" s="140">
        <f t="shared" si="0"/>
        <v>0</v>
      </c>
      <c r="U19" s="140">
        <f t="shared" si="1"/>
        <v>0</v>
      </c>
      <c r="V19" s="140">
        <f t="shared" si="2"/>
        <v>0</v>
      </c>
      <c r="W19" s="140">
        <f t="shared" si="3"/>
        <v>0</v>
      </c>
      <c r="X19" s="140">
        <f t="shared" si="4"/>
        <v>0</v>
      </c>
      <c r="Y19" s="140">
        <f t="shared" si="5"/>
        <v>0</v>
      </c>
      <c r="Z19" s="224">
        <f t="shared" si="7"/>
        <v>0</v>
      </c>
      <c r="AA19" s="427"/>
      <c r="AB19" s="485"/>
    </row>
    <row r="20" spans="1:28" ht="43.5" customHeight="1">
      <c r="A20" s="453"/>
      <c r="B20" s="505" t="s">
        <v>77</v>
      </c>
      <c r="C20" s="507" t="s">
        <v>750</v>
      </c>
      <c r="D20" s="507" t="s">
        <v>541</v>
      </c>
      <c r="E20" s="97" t="s">
        <v>37</v>
      </c>
      <c r="F20" s="344" t="s">
        <v>78</v>
      </c>
      <c r="G20" s="97" t="s">
        <v>34</v>
      </c>
      <c r="H20" s="94" t="s">
        <v>35</v>
      </c>
      <c r="I20" s="97">
        <v>37</v>
      </c>
      <c r="J20" s="97">
        <v>37</v>
      </c>
      <c r="K20" s="97">
        <v>37</v>
      </c>
      <c r="L20" s="97">
        <v>38</v>
      </c>
      <c r="M20" s="97">
        <v>38</v>
      </c>
      <c r="N20" s="97">
        <v>39</v>
      </c>
      <c r="O20" s="97">
        <v>39</v>
      </c>
      <c r="P20" s="169">
        <v>40</v>
      </c>
      <c r="Q20" s="138">
        <v>0</v>
      </c>
      <c r="R20" s="139">
        <v>0.04</v>
      </c>
      <c r="S20" s="140">
        <f t="shared" si="6"/>
        <v>0</v>
      </c>
      <c r="T20" s="140">
        <f t="shared" si="0"/>
        <v>0</v>
      </c>
      <c r="U20" s="140">
        <f t="shared" si="1"/>
        <v>0</v>
      </c>
      <c r="V20" s="140">
        <f t="shared" si="2"/>
        <v>0</v>
      </c>
      <c r="W20" s="140">
        <f t="shared" si="3"/>
        <v>0</v>
      </c>
      <c r="X20" s="140">
        <f t="shared" si="4"/>
        <v>0</v>
      </c>
      <c r="Y20" s="140">
        <f t="shared" si="5"/>
        <v>0</v>
      </c>
      <c r="Z20" s="224">
        <f t="shared" si="7"/>
        <v>0</v>
      </c>
      <c r="AA20" s="427">
        <f>SUM(Z20:Z21)</f>
        <v>0</v>
      </c>
      <c r="AB20" s="486" t="s">
        <v>673</v>
      </c>
    </row>
    <row r="21" spans="1:28" ht="43.5" customHeight="1">
      <c r="A21" s="453"/>
      <c r="B21" s="505"/>
      <c r="C21" s="507"/>
      <c r="D21" s="507"/>
      <c r="E21" s="97" t="s">
        <v>37</v>
      </c>
      <c r="F21" s="344" t="s">
        <v>79</v>
      </c>
      <c r="G21" s="97" t="s">
        <v>34</v>
      </c>
      <c r="H21" s="94" t="s">
        <v>35</v>
      </c>
      <c r="I21" s="97">
        <v>8</v>
      </c>
      <c r="J21" s="97">
        <v>10</v>
      </c>
      <c r="K21" s="97">
        <v>14</v>
      </c>
      <c r="L21" s="97">
        <v>18</v>
      </c>
      <c r="M21" s="97">
        <v>22</v>
      </c>
      <c r="N21" s="97">
        <v>26</v>
      </c>
      <c r="O21" s="97">
        <v>30</v>
      </c>
      <c r="P21" s="169">
        <v>34</v>
      </c>
      <c r="Q21" s="138">
        <v>0</v>
      </c>
      <c r="R21" s="139">
        <v>0.04</v>
      </c>
      <c r="S21" s="140">
        <f t="shared" si="6"/>
        <v>0</v>
      </c>
      <c r="T21" s="140">
        <f t="shared" si="0"/>
        <v>0</v>
      </c>
      <c r="U21" s="140">
        <f t="shared" si="1"/>
        <v>0</v>
      </c>
      <c r="V21" s="140">
        <f t="shared" si="2"/>
        <v>0</v>
      </c>
      <c r="W21" s="140">
        <f t="shared" si="3"/>
        <v>0</v>
      </c>
      <c r="X21" s="140">
        <f t="shared" si="4"/>
        <v>0</v>
      </c>
      <c r="Y21" s="140">
        <f t="shared" si="5"/>
        <v>0</v>
      </c>
      <c r="Z21" s="224">
        <f t="shared" si="7"/>
        <v>0</v>
      </c>
      <c r="AA21" s="427"/>
      <c r="AB21" s="485"/>
    </row>
    <row r="22" spans="1:28" ht="75.75" customHeight="1">
      <c r="A22" s="453"/>
      <c r="B22" s="505" t="s">
        <v>80</v>
      </c>
      <c r="C22" s="97" t="s">
        <v>751</v>
      </c>
      <c r="D22" s="507" t="s">
        <v>541</v>
      </c>
      <c r="E22" s="97" t="s">
        <v>37</v>
      </c>
      <c r="F22" s="344" t="s">
        <v>81</v>
      </c>
      <c r="G22" s="97" t="s">
        <v>34</v>
      </c>
      <c r="H22" s="94" t="s">
        <v>35</v>
      </c>
      <c r="I22" s="97">
        <v>1</v>
      </c>
      <c r="J22" s="97">
        <v>1</v>
      </c>
      <c r="K22" s="97">
        <v>2</v>
      </c>
      <c r="L22" s="97">
        <v>3</v>
      </c>
      <c r="M22" s="97">
        <v>3</v>
      </c>
      <c r="N22" s="97">
        <v>3</v>
      </c>
      <c r="O22" s="97">
        <v>3</v>
      </c>
      <c r="P22" s="169">
        <v>3</v>
      </c>
      <c r="Q22" s="138">
        <v>0</v>
      </c>
      <c r="R22" s="139">
        <v>0.04</v>
      </c>
      <c r="S22" s="140">
        <f t="shared" si="6"/>
        <v>0</v>
      </c>
      <c r="T22" s="140">
        <f t="shared" si="0"/>
        <v>0</v>
      </c>
      <c r="U22" s="140">
        <f t="shared" si="1"/>
        <v>0</v>
      </c>
      <c r="V22" s="140">
        <f t="shared" si="2"/>
        <v>0</v>
      </c>
      <c r="W22" s="140">
        <f t="shared" si="3"/>
        <v>0</v>
      </c>
      <c r="X22" s="140">
        <f t="shared" si="4"/>
        <v>0</v>
      </c>
      <c r="Y22" s="140">
        <f t="shared" si="5"/>
        <v>0</v>
      </c>
      <c r="Z22" s="224">
        <f t="shared" si="7"/>
        <v>0</v>
      </c>
      <c r="AA22" s="427">
        <f>SUM(Z22:Z23)</f>
        <v>0</v>
      </c>
      <c r="AB22" s="486" t="s">
        <v>673</v>
      </c>
    </row>
    <row r="23" spans="1:28" ht="68.25" customHeight="1">
      <c r="A23" s="453"/>
      <c r="B23" s="505"/>
      <c r="C23" s="97" t="s">
        <v>746</v>
      </c>
      <c r="D23" s="507"/>
      <c r="E23" s="97" t="s">
        <v>37</v>
      </c>
      <c r="F23" s="342" t="s">
        <v>842</v>
      </c>
      <c r="G23" s="97" t="s">
        <v>34</v>
      </c>
      <c r="H23" s="94" t="s">
        <v>35</v>
      </c>
      <c r="I23" s="18">
        <v>0.5</v>
      </c>
      <c r="J23" s="18">
        <v>0.5</v>
      </c>
      <c r="K23" s="18">
        <v>0.5</v>
      </c>
      <c r="L23" s="18">
        <v>0.6</v>
      </c>
      <c r="M23" s="18">
        <v>0.6</v>
      </c>
      <c r="N23" s="18">
        <v>0.7</v>
      </c>
      <c r="O23" s="18">
        <v>0.7</v>
      </c>
      <c r="P23" s="153">
        <v>0.75</v>
      </c>
      <c r="Q23" s="138">
        <v>0</v>
      </c>
      <c r="R23" s="139">
        <v>0.04</v>
      </c>
      <c r="S23" s="140">
        <f t="shared" si="6"/>
        <v>0</v>
      </c>
      <c r="T23" s="140">
        <f t="shared" si="0"/>
        <v>0</v>
      </c>
      <c r="U23" s="140">
        <f t="shared" si="1"/>
        <v>0</v>
      </c>
      <c r="V23" s="140">
        <f t="shared" si="2"/>
        <v>0</v>
      </c>
      <c r="W23" s="140">
        <f t="shared" si="3"/>
        <v>0</v>
      </c>
      <c r="X23" s="140">
        <f t="shared" si="4"/>
        <v>0</v>
      </c>
      <c r="Y23" s="140">
        <f t="shared" si="5"/>
        <v>0</v>
      </c>
      <c r="Z23" s="224">
        <f t="shared" si="7"/>
        <v>0</v>
      </c>
      <c r="AA23" s="427"/>
      <c r="AB23" s="485"/>
    </row>
    <row r="24" spans="1:28" ht="48.75" customHeight="1">
      <c r="A24" s="453"/>
      <c r="B24" s="505" t="s">
        <v>82</v>
      </c>
      <c r="C24" s="507" t="s">
        <v>752</v>
      </c>
      <c r="D24" s="507" t="s">
        <v>541</v>
      </c>
      <c r="E24" s="97" t="s">
        <v>37</v>
      </c>
      <c r="F24" s="344" t="s">
        <v>83</v>
      </c>
      <c r="G24" s="97" t="s">
        <v>35</v>
      </c>
      <c r="H24" s="94" t="s">
        <v>35</v>
      </c>
      <c r="I24" s="97">
        <v>26</v>
      </c>
      <c r="J24" s="97">
        <v>26</v>
      </c>
      <c r="K24" s="97">
        <v>27</v>
      </c>
      <c r="L24" s="97">
        <v>28</v>
      </c>
      <c r="M24" s="97">
        <v>29</v>
      </c>
      <c r="N24" s="97">
        <v>30</v>
      </c>
      <c r="O24" s="97">
        <v>31</v>
      </c>
      <c r="P24" s="169">
        <v>32</v>
      </c>
      <c r="Q24" s="138">
        <v>0</v>
      </c>
      <c r="R24" s="139">
        <v>0.04</v>
      </c>
      <c r="S24" s="140">
        <f t="shared" si="6"/>
        <v>0</v>
      </c>
      <c r="T24" s="140">
        <f t="shared" si="0"/>
        <v>0</v>
      </c>
      <c r="U24" s="140">
        <f t="shared" si="1"/>
        <v>0</v>
      </c>
      <c r="V24" s="140">
        <f t="shared" si="2"/>
        <v>0</v>
      </c>
      <c r="W24" s="140">
        <f t="shared" si="3"/>
        <v>0</v>
      </c>
      <c r="X24" s="140">
        <f t="shared" si="4"/>
        <v>0</v>
      </c>
      <c r="Y24" s="140">
        <f t="shared" si="5"/>
        <v>0</v>
      </c>
      <c r="Z24" s="224">
        <f t="shared" si="7"/>
        <v>0</v>
      </c>
      <c r="AA24" s="427">
        <f>SUM(Z24:Z26)</f>
        <v>0</v>
      </c>
      <c r="AB24" s="486" t="s">
        <v>673</v>
      </c>
    </row>
    <row r="25" spans="1:28" ht="48.75" customHeight="1">
      <c r="A25" s="453"/>
      <c r="B25" s="505"/>
      <c r="C25" s="507"/>
      <c r="D25" s="507"/>
      <c r="E25" s="97" t="s">
        <v>37</v>
      </c>
      <c r="F25" s="344" t="s">
        <v>84</v>
      </c>
      <c r="G25" s="97" t="s">
        <v>35</v>
      </c>
      <c r="H25" s="94" t="s">
        <v>35</v>
      </c>
      <c r="I25" s="94">
        <v>18</v>
      </c>
      <c r="J25" s="94">
        <v>18</v>
      </c>
      <c r="K25" s="94">
        <v>0</v>
      </c>
      <c r="L25" s="94">
        <v>18</v>
      </c>
      <c r="M25" s="94">
        <v>0</v>
      </c>
      <c r="N25" s="94">
        <v>18</v>
      </c>
      <c r="O25" s="94">
        <v>0</v>
      </c>
      <c r="P25" s="170">
        <v>18</v>
      </c>
      <c r="Q25" s="138">
        <v>0</v>
      </c>
      <c r="R25" s="139">
        <v>0.04</v>
      </c>
      <c r="S25" s="140">
        <f t="shared" si="6"/>
        <v>0</v>
      </c>
      <c r="T25" s="140">
        <f t="shared" si="0"/>
        <v>0</v>
      </c>
      <c r="U25" s="140">
        <f t="shared" si="1"/>
        <v>0</v>
      </c>
      <c r="V25" s="140">
        <f t="shared" si="2"/>
        <v>0</v>
      </c>
      <c r="W25" s="140">
        <f t="shared" si="3"/>
        <v>0</v>
      </c>
      <c r="X25" s="140">
        <f t="shared" si="4"/>
        <v>0</v>
      </c>
      <c r="Y25" s="140">
        <f t="shared" si="5"/>
        <v>0</v>
      </c>
      <c r="Z25" s="224">
        <f t="shared" si="7"/>
        <v>0</v>
      </c>
      <c r="AA25" s="427"/>
      <c r="AB25" s="480"/>
    </row>
    <row r="26" spans="1:28" ht="48.75" customHeight="1" thickBot="1">
      <c r="A26" s="447"/>
      <c r="B26" s="512"/>
      <c r="C26" s="510"/>
      <c r="D26" s="510"/>
      <c r="E26" s="95" t="s">
        <v>37</v>
      </c>
      <c r="F26" s="357" t="s">
        <v>85</v>
      </c>
      <c r="G26" s="95" t="s">
        <v>35</v>
      </c>
      <c r="H26" s="103" t="s">
        <v>35</v>
      </c>
      <c r="I26" s="95">
        <v>90</v>
      </c>
      <c r="J26" s="103">
        <v>90</v>
      </c>
      <c r="K26" s="103">
        <v>0</v>
      </c>
      <c r="L26" s="103">
        <v>90</v>
      </c>
      <c r="M26" s="103">
        <v>0</v>
      </c>
      <c r="N26" s="103">
        <v>90</v>
      </c>
      <c r="O26" s="103">
        <v>0</v>
      </c>
      <c r="P26" s="171">
        <v>90</v>
      </c>
      <c r="Q26" s="162">
        <v>0</v>
      </c>
      <c r="R26" s="144">
        <v>0.04</v>
      </c>
      <c r="S26" s="147">
        <f t="shared" si="6"/>
        <v>0</v>
      </c>
      <c r="T26" s="147">
        <f t="shared" si="0"/>
        <v>0</v>
      </c>
      <c r="U26" s="147">
        <f t="shared" si="1"/>
        <v>0</v>
      </c>
      <c r="V26" s="147">
        <f t="shared" si="2"/>
        <v>0</v>
      </c>
      <c r="W26" s="147">
        <f t="shared" si="3"/>
        <v>0</v>
      </c>
      <c r="X26" s="147">
        <f t="shared" si="4"/>
        <v>0</v>
      </c>
      <c r="Y26" s="147">
        <f t="shared" si="5"/>
        <v>0</v>
      </c>
      <c r="Z26" s="148">
        <f t="shared" si="7"/>
        <v>0</v>
      </c>
      <c r="AA26" s="497"/>
      <c r="AB26" s="481"/>
    </row>
    <row r="27" spans="1:28" ht="161.25" customHeight="1">
      <c r="A27" s="446" t="s">
        <v>86</v>
      </c>
      <c r="B27" s="356" t="s">
        <v>473</v>
      </c>
      <c r="C27" s="96" t="s">
        <v>798</v>
      </c>
      <c r="D27" s="127" t="s">
        <v>554</v>
      </c>
      <c r="E27" s="96" t="s">
        <v>37</v>
      </c>
      <c r="F27" s="356" t="s">
        <v>712</v>
      </c>
      <c r="G27" s="96" t="s">
        <v>34</v>
      </c>
      <c r="H27" s="93" t="s">
        <v>35</v>
      </c>
      <c r="I27" s="96">
        <v>4</v>
      </c>
      <c r="J27" s="96">
        <v>6</v>
      </c>
      <c r="K27" s="96">
        <v>8</v>
      </c>
      <c r="L27" s="96">
        <v>10</v>
      </c>
      <c r="M27" s="96">
        <v>12</v>
      </c>
      <c r="N27" s="96">
        <v>14</v>
      </c>
      <c r="O27" s="96">
        <v>16</v>
      </c>
      <c r="P27" s="166">
        <v>18</v>
      </c>
      <c r="Q27" s="135">
        <v>0</v>
      </c>
      <c r="R27" s="136">
        <v>0.04</v>
      </c>
      <c r="S27" s="175">
        <f t="shared" si="6"/>
        <v>0</v>
      </c>
      <c r="T27" s="175">
        <f t="shared" si="0"/>
        <v>0</v>
      </c>
      <c r="U27" s="175">
        <f t="shared" si="1"/>
        <v>0</v>
      </c>
      <c r="V27" s="175">
        <f t="shared" si="2"/>
        <v>0</v>
      </c>
      <c r="W27" s="175">
        <f t="shared" si="3"/>
        <v>0</v>
      </c>
      <c r="X27" s="175">
        <f t="shared" si="4"/>
        <v>0</v>
      </c>
      <c r="Y27" s="175">
        <f t="shared" si="5"/>
        <v>0</v>
      </c>
      <c r="Z27" s="225">
        <f t="shared" si="7"/>
        <v>0</v>
      </c>
      <c r="AA27" s="260">
        <f>Z27</f>
        <v>0</v>
      </c>
      <c r="AB27" s="268" t="s">
        <v>673</v>
      </c>
    </row>
    <row r="28" spans="1:28" ht="123.75" customHeight="1">
      <c r="A28" s="453"/>
      <c r="B28" s="505" t="s">
        <v>87</v>
      </c>
      <c r="C28" s="507" t="s">
        <v>799</v>
      </c>
      <c r="D28" s="510" t="s">
        <v>554</v>
      </c>
      <c r="E28" s="97" t="s">
        <v>37</v>
      </c>
      <c r="F28" s="344" t="s">
        <v>712</v>
      </c>
      <c r="G28" s="97" t="s">
        <v>34</v>
      </c>
      <c r="H28" s="94" t="s">
        <v>35</v>
      </c>
      <c r="I28" s="97">
        <v>5</v>
      </c>
      <c r="J28" s="97">
        <v>7</v>
      </c>
      <c r="K28" s="97">
        <v>9</v>
      </c>
      <c r="L28" s="97">
        <v>11</v>
      </c>
      <c r="M28" s="97">
        <v>13</v>
      </c>
      <c r="N28" s="97">
        <v>15</v>
      </c>
      <c r="O28" s="97">
        <v>17</v>
      </c>
      <c r="P28" s="169">
        <v>19</v>
      </c>
      <c r="Q28" s="138">
        <v>0</v>
      </c>
      <c r="R28" s="139">
        <v>0.04</v>
      </c>
      <c r="S28" s="140">
        <f t="shared" si="6"/>
        <v>0</v>
      </c>
      <c r="T28" s="140">
        <f t="shared" si="0"/>
        <v>0</v>
      </c>
      <c r="U28" s="140">
        <f t="shared" si="1"/>
        <v>0</v>
      </c>
      <c r="V28" s="140">
        <f t="shared" si="2"/>
        <v>0</v>
      </c>
      <c r="W28" s="140">
        <f t="shared" si="3"/>
        <v>0</v>
      </c>
      <c r="X28" s="140">
        <f t="shared" si="4"/>
        <v>0</v>
      </c>
      <c r="Y28" s="140">
        <f t="shared" si="5"/>
        <v>0</v>
      </c>
      <c r="Z28" s="224">
        <f t="shared" si="7"/>
        <v>0</v>
      </c>
      <c r="AA28" s="427">
        <f>SUM(Z28:Z29)</f>
        <v>236948834.42688</v>
      </c>
      <c r="AB28" s="486" t="s">
        <v>663</v>
      </c>
    </row>
    <row r="29" spans="1:28" ht="72" customHeight="1" thickBot="1">
      <c r="A29" s="458"/>
      <c r="B29" s="513"/>
      <c r="C29" s="514"/>
      <c r="D29" s="511"/>
      <c r="E29" s="98" t="s">
        <v>37</v>
      </c>
      <c r="F29" s="358" t="s">
        <v>88</v>
      </c>
      <c r="G29" s="98" t="s">
        <v>34</v>
      </c>
      <c r="H29" s="117" t="s">
        <v>35</v>
      </c>
      <c r="I29" s="98">
        <v>20</v>
      </c>
      <c r="J29" s="98">
        <v>24</v>
      </c>
      <c r="K29" s="98">
        <v>30</v>
      </c>
      <c r="L29" s="98">
        <v>34</v>
      </c>
      <c r="M29" s="98">
        <v>38</v>
      </c>
      <c r="N29" s="98">
        <v>40</v>
      </c>
      <c r="O29" s="98">
        <v>45</v>
      </c>
      <c r="P29" s="172">
        <v>50</v>
      </c>
      <c r="Q29" s="177">
        <v>30000000</v>
      </c>
      <c r="R29" s="146">
        <v>0.04</v>
      </c>
      <c r="S29" s="147">
        <f t="shared" si="6"/>
        <v>30000000</v>
      </c>
      <c r="T29" s="147">
        <f t="shared" si="0"/>
        <v>31200000</v>
      </c>
      <c r="U29" s="147">
        <f t="shared" si="1"/>
        <v>32448000</v>
      </c>
      <c r="V29" s="147">
        <f t="shared" si="2"/>
        <v>33745920</v>
      </c>
      <c r="W29" s="147">
        <f t="shared" si="3"/>
        <v>35095756.800000004</v>
      </c>
      <c r="X29" s="147">
        <f t="shared" si="4"/>
        <v>36499587.072000004</v>
      </c>
      <c r="Y29" s="147">
        <f t="shared" si="5"/>
        <v>37959570.554880008</v>
      </c>
      <c r="Z29" s="249">
        <f t="shared" si="7"/>
        <v>236948834.42688</v>
      </c>
      <c r="AA29" s="496"/>
      <c r="AB29" s="481"/>
    </row>
    <row r="30" spans="1:28">
      <c r="A30" s="16"/>
      <c r="B30" s="16"/>
      <c r="C30" s="16"/>
      <c r="D30" s="16"/>
      <c r="E30" s="16"/>
      <c r="F30" s="16"/>
      <c r="G30" s="16"/>
      <c r="H30" s="16"/>
      <c r="I30" s="16"/>
      <c r="J30" s="16"/>
      <c r="K30" s="16"/>
      <c r="L30" s="16"/>
      <c r="M30" s="16"/>
      <c r="N30" s="16"/>
      <c r="O30" s="16"/>
      <c r="P30" s="16"/>
    </row>
    <row r="31" spans="1:28">
      <c r="A31" s="452"/>
      <c r="B31" s="452"/>
      <c r="C31" s="452"/>
      <c r="D31" s="452"/>
      <c r="E31" s="452"/>
      <c r="F31" s="452"/>
      <c r="G31" s="452"/>
      <c r="H31" s="452"/>
      <c r="I31" s="452"/>
      <c r="J31" s="452"/>
      <c r="K31" s="452"/>
      <c r="L31" s="452"/>
      <c r="M31" s="452"/>
      <c r="N31" s="452"/>
      <c r="O31" s="452"/>
      <c r="P31" s="452"/>
    </row>
  </sheetData>
  <sheetProtection algorithmName="SHA-512" hashValue="emUc/Ps9RWSLPQqUXkJPOXkmG3xk7HYZLC3GmclR+1itJMQs0v7SUigNl8ElVZ7qL8zcn1lh8LFr1e1jlKtq7g==" saltValue="lV/gWsDiTqPK0S4Jzoclvg==" spinCount="100000" sheet="1" objects="1" scenarios="1"/>
  <mergeCells count="70">
    <mergeCell ref="AB20:AB21"/>
    <mergeCell ref="AB22:AB23"/>
    <mergeCell ref="AB24:AB26"/>
    <mergeCell ref="AB28:AB29"/>
    <mergeCell ref="AB3:AB4"/>
    <mergeCell ref="AB5:AB6"/>
    <mergeCell ref="AB7:AB8"/>
    <mergeCell ref="AB9:AB12"/>
    <mergeCell ref="AB13:AB14"/>
    <mergeCell ref="AB15:AB16"/>
    <mergeCell ref="AB17:AB19"/>
    <mergeCell ref="D28:D29"/>
    <mergeCell ref="A31:P31"/>
    <mergeCell ref="B22:B23"/>
    <mergeCell ref="D22:D23"/>
    <mergeCell ref="B24:B26"/>
    <mergeCell ref="C24:C26"/>
    <mergeCell ref="D24:D26"/>
    <mergeCell ref="A27:A29"/>
    <mergeCell ref="B28:B29"/>
    <mergeCell ref="C28:C29"/>
    <mergeCell ref="A15:A26"/>
    <mergeCell ref="B15:B16"/>
    <mergeCell ref="C15:C16"/>
    <mergeCell ref="D15:D16"/>
    <mergeCell ref="B17:B19"/>
    <mergeCell ref="C17:C19"/>
    <mergeCell ref="D17:D19"/>
    <mergeCell ref="B20:B21"/>
    <mergeCell ref="C20:C21"/>
    <mergeCell ref="D20:D21"/>
    <mergeCell ref="I3:I4"/>
    <mergeCell ref="B13:B14"/>
    <mergeCell ref="D13:D14"/>
    <mergeCell ref="A5:A14"/>
    <mergeCell ref="B5:B6"/>
    <mergeCell ref="C5:C6"/>
    <mergeCell ref="D5:D6"/>
    <mergeCell ref="B7:B8"/>
    <mergeCell ref="C7:C8"/>
    <mergeCell ref="D7:D8"/>
    <mergeCell ref="B9:B12"/>
    <mergeCell ref="C9:C12"/>
    <mergeCell ref="D9:D12"/>
    <mergeCell ref="A2:P2"/>
    <mergeCell ref="A3:A4"/>
    <mergeCell ref="B3:B4"/>
    <mergeCell ref="C3:C4"/>
    <mergeCell ref="D3:D4"/>
    <mergeCell ref="E3:E4"/>
    <mergeCell ref="F3:F4"/>
    <mergeCell ref="G3:G4"/>
    <mergeCell ref="H3:H4"/>
    <mergeCell ref="J3:P3"/>
    <mergeCell ref="A1:P1"/>
    <mergeCell ref="AA24:AA26"/>
    <mergeCell ref="AA28:AA29"/>
    <mergeCell ref="Q3:Q4"/>
    <mergeCell ref="R3:R4"/>
    <mergeCell ref="S3:Y3"/>
    <mergeCell ref="Z3:Z4"/>
    <mergeCell ref="AA3:AA4"/>
    <mergeCell ref="AA5:AA6"/>
    <mergeCell ref="AA7:AA8"/>
    <mergeCell ref="AA9:AA12"/>
    <mergeCell ref="AA13:AA14"/>
    <mergeCell ref="AA15:AA16"/>
    <mergeCell ref="AA17:AA19"/>
    <mergeCell ref="AA20:AA21"/>
    <mergeCell ref="AA22:AA23"/>
  </mergeCells>
  <pageMargins left="0.7" right="0.7" top="0.75" bottom="0.75" header="0.3" footer="0.3"/>
  <pageSetup orientation="portrait" horizontalDpi="1200" verticalDpi="1200" r:id="rId1"/>
  <ignoredErrors>
    <ignoredError sqref="Z13 Z15 Z29 Z14 Z17 Z16 Z20 Z19 Z22 Z21 Z24 Z23 Z27 Z26 Z18 Z25 Z28"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G5:G29</xm:sqref>
        </x14:dataValidation>
        <x14:dataValidation type="list" allowBlank="1" showInputMessage="1" showErrorMessage="1">
          <x14:formula1>
            <xm:f>Hoja2!$A$1:$A$3</xm:f>
          </x14:formula1>
          <xm:sqref>E5:E29</xm:sqref>
        </x14:dataValidation>
        <x14:dataValidation type="list" allowBlank="1" showInputMessage="1" showErrorMessage="1">
          <x14:formula1>
            <xm:f>Hoja2!$E$15:$E$26</xm:f>
          </x14:formula1>
          <xm:sqref>AB5:AB29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2.125" customWidth="1"/>
    <col min="4" max="4" width="13.125" customWidth="1"/>
    <col min="5" max="5" width="13.5" customWidth="1"/>
    <col min="6" max="6" width="31.125" customWidth="1"/>
    <col min="7" max="7" width="17.125" customWidth="1"/>
    <col min="8" max="8" width="18.875" customWidth="1"/>
    <col min="9" max="9" width="24.6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6.5" thickBot="1">
      <c r="A2" s="524"/>
      <c r="B2" s="524"/>
      <c r="C2" s="524"/>
      <c r="D2" s="524"/>
      <c r="E2" s="524"/>
      <c r="F2" s="524"/>
      <c r="G2" s="524"/>
      <c r="H2" s="524"/>
      <c r="I2" s="524"/>
      <c r="J2" s="524"/>
      <c r="K2" s="524"/>
      <c r="L2" s="524"/>
      <c r="M2" s="524"/>
      <c r="N2" s="524"/>
      <c r="O2" s="524"/>
      <c r="P2" s="525"/>
      <c r="R2" s="324">
        <f>R5+1</f>
        <v>1.04</v>
      </c>
    </row>
    <row r="3" spans="1:28"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28"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75" customHeight="1">
      <c r="A5" s="519" t="s">
        <v>89</v>
      </c>
      <c r="B5" s="356" t="s">
        <v>90</v>
      </c>
      <c r="C5" s="96" t="s">
        <v>476</v>
      </c>
      <c r="D5" s="96" t="s">
        <v>562</v>
      </c>
      <c r="E5" s="96" t="s">
        <v>37</v>
      </c>
      <c r="F5" s="356" t="s">
        <v>479</v>
      </c>
      <c r="G5" s="96" t="s">
        <v>35</v>
      </c>
      <c r="H5" s="96" t="s">
        <v>35</v>
      </c>
      <c r="I5" s="99" t="s">
        <v>91</v>
      </c>
      <c r="J5" s="96">
        <v>2</v>
      </c>
      <c r="K5" s="96">
        <v>2</v>
      </c>
      <c r="L5" s="96">
        <v>3</v>
      </c>
      <c r="M5" s="96">
        <v>3</v>
      </c>
      <c r="N5" s="96">
        <v>4</v>
      </c>
      <c r="O5" s="96">
        <v>4</v>
      </c>
      <c r="P5" s="2">
        <v>4</v>
      </c>
      <c r="Q5" s="135">
        <v>0</v>
      </c>
      <c r="R5" s="136">
        <v>0.04</v>
      </c>
      <c r="S5" s="140">
        <f>IF(J5&lt;&gt;0,Q5,0)</f>
        <v>0</v>
      </c>
      <c r="T5" s="140">
        <f>IF(K5&lt;&gt;0,(IF(S5&lt;&gt;0,(S5*$R$2),($Q5*$R$2))),0)</f>
        <v>0</v>
      </c>
      <c r="U5" s="140">
        <f>IF(L5&lt;&gt;0,(IF(T5&lt;&gt;0,(T5*$R$2),(($Q5*$R$2)*$R$2))),0)</f>
        <v>0</v>
      </c>
      <c r="V5" s="140">
        <f>IF(M5&lt;&gt;0,(IF(U5&lt;&gt;0,(U5*$R$2),(($Q5*$R$2)*$R$2*$R$2))),0)</f>
        <v>0</v>
      </c>
      <c r="W5" s="140">
        <f>IF(N5&lt;&gt;0,(IF(V5&lt;&gt;0,(V5*$R$2),(($Q5*$R$2)*$R$2*$R$2*$R$2))),0)</f>
        <v>0</v>
      </c>
      <c r="X5" s="140">
        <f>IF(O5&lt;&gt;0,(IF(W5&lt;&gt;0,(W5*$R$2),(($Q5*$R$2)*$R$2*$R$2*$R$2*$R$2))),0)</f>
        <v>0</v>
      </c>
      <c r="Y5" s="140">
        <f>IF(P5&lt;&gt;0,(IF(X5&lt;&gt;0,(X5*$R$2),(($Q5*$R$2)*$R$2*$R$2*$R$2*$R$2*$R$2))),0)</f>
        <v>0</v>
      </c>
      <c r="Z5" s="137">
        <f>SUM(S5:Y5)</f>
        <v>0</v>
      </c>
      <c r="AA5" s="264">
        <f>Z5</f>
        <v>0</v>
      </c>
      <c r="AB5" s="265" t="s">
        <v>673</v>
      </c>
    </row>
    <row r="6" spans="1:28" s="16" customFormat="1" ht="64.5" customHeight="1" thickBot="1">
      <c r="A6" s="520"/>
      <c r="B6" s="357" t="s">
        <v>489</v>
      </c>
      <c r="C6" s="95" t="s">
        <v>476</v>
      </c>
      <c r="D6" s="95" t="s">
        <v>563</v>
      </c>
      <c r="E6" s="95" t="s">
        <v>37</v>
      </c>
      <c r="F6" s="357" t="s">
        <v>480</v>
      </c>
      <c r="G6" s="95" t="s">
        <v>35</v>
      </c>
      <c r="H6" s="95" t="s">
        <v>35</v>
      </c>
      <c r="I6" s="101" t="s">
        <v>421</v>
      </c>
      <c r="J6" s="95">
        <v>14</v>
      </c>
      <c r="K6" s="95">
        <v>16</v>
      </c>
      <c r="L6" s="95">
        <v>18</v>
      </c>
      <c r="M6" s="95">
        <v>20</v>
      </c>
      <c r="N6" s="95">
        <v>21</v>
      </c>
      <c r="O6" s="95">
        <v>22</v>
      </c>
      <c r="P6" s="15">
        <v>24</v>
      </c>
      <c r="Q6" s="177">
        <v>0</v>
      </c>
      <c r="R6" s="146">
        <v>0.04</v>
      </c>
      <c r="S6" s="147">
        <f t="shared" ref="S6:S27" si="0">IF(J6&lt;&gt;0,Q6,0)</f>
        <v>0</v>
      </c>
      <c r="T6" s="147">
        <f t="shared" ref="T6:T27" si="1">IF(K6&lt;&gt;0,(IF(S6&lt;&gt;0,(S6*$R$2),($Q6*$R$2))),0)</f>
        <v>0</v>
      </c>
      <c r="U6" s="147">
        <f t="shared" ref="U6:U27" si="2">IF(L6&lt;&gt;0,(IF(T6&lt;&gt;0,(T6*$R$2),(($Q6*$R$2)*$R$2))),0)</f>
        <v>0</v>
      </c>
      <c r="V6" s="147">
        <f t="shared" ref="V6:V27" si="3">IF(M6&lt;&gt;0,(IF(U6&lt;&gt;0,(U6*$R$2),(($Q6*$R$2)*$R$2*$R$2))),0)</f>
        <v>0</v>
      </c>
      <c r="W6" s="147">
        <f t="shared" ref="W6:W27" si="4">IF(N6&lt;&gt;0,(IF(V6&lt;&gt;0,(V6*$R$2),(($Q6*$R$2)*$R$2*$R$2*$R$2))),0)</f>
        <v>0</v>
      </c>
      <c r="X6" s="147">
        <f t="shared" ref="X6:X27" si="5">IF(O6&lt;&gt;0,(IF(W6&lt;&gt;0,(W6*$R$2),(($Q6*$R$2)*$R$2*$R$2*$R$2*$R$2))),0)</f>
        <v>0</v>
      </c>
      <c r="Y6" s="147">
        <f t="shared" ref="Y6:Y27" si="6">IF(P6&lt;&gt;0,(IF(X6&lt;&gt;0,(X6*$R$2),(($Q6*$R$2)*$R$2*$R$2*$R$2*$R$2*$R$2))),0)</f>
        <v>0</v>
      </c>
      <c r="Z6" s="148">
        <f t="shared" ref="Z6:Z27" si="7">SUM(S6:Y6)</f>
        <v>0</v>
      </c>
      <c r="AA6" s="269">
        <f>Z6</f>
        <v>0</v>
      </c>
      <c r="AB6" s="266" t="s">
        <v>673</v>
      </c>
    </row>
    <row r="7" spans="1:28" s="16" customFormat="1" ht="82.5" customHeight="1">
      <c r="A7" s="519" t="s">
        <v>92</v>
      </c>
      <c r="B7" s="504" t="s">
        <v>692</v>
      </c>
      <c r="C7" s="96" t="s">
        <v>476</v>
      </c>
      <c r="D7" s="527" t="s">
        <v>564</v>
      </c>
      <c r="E7" s="96" t="s">
        <v>37</v>
      </c>
      <c r="F7" s="356" t="s">
        <v>93</v>
      </c>
      <c r="G7" s="96" t="s">
        <v>35</v>
      </c>
      <c r="H7" s="96" t="s">
        <v>35</v>
      </c>
      <c r="I7" s="96">
        <v>0</v>
      </c>
      <c r="J7" s="96">
        <v>1</v>
      </c>
      <c r="K7" s="96">
        <v>0</v>
      </c>
      <c r="L7" s="96">
        <v>0</v>
      </c>
      <c r="M7" s="96">
        <v>0</v>
      </c>
      <c r="N7" s="96">
        <v>0</v>
      </c>
      <c r="O7" s="96">
        <v>0</v>
      </c>
      <c r="P7" s="2">
        <v>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94">
        <f>SUM(Z7:Z9)</f>
        <v>0</v>
      </c>
      <c r="AB7" s="484" t="s">
        <v>673</v>
      </c>
    </row>
    <row r="8" spans="1:28" s="16" customFormat="1" ht="71.25" customHeight="1">
      <c r="A8" s="521"/>
      <c r="B8" s="505"/>
      <c r="C8" s="97" t="s">
        <v>477</v>
      </c>
      <c r="D8" s="528"/>
      <c r="E8" s="97" t="s">
        <v>54</v>
      </c>
      <c r="F8" s="344" t="s">
        <v>481</v>
      </c>
      <c r="G8" s="97" t="s">
        <v>35</v>
      </c>
      <c r="H8" s="97" t="s">
        <v>159</v>
      </c>
      <c r="I8" s="97" t="s">
        <v>94</v>
      </c>
      <c r="J8" s="337">
        <v>0</v>
      </c>
      <c r="K8" s="338">
        <v>0.5</v>
      </c>
      <c r="L8" s="338">
        <v>1</v>
      </c>
      <c r="M8" s="338">
        <v>1</v>
      </c>
      <c r="N8" s="338">
        <v>1</v>
      </c>
      <c r="O8" s="338">
        <v>1</v>
      </c>
      <c r="P8" s="339">
        <v>1</v>
      </c>
      <c r="Q8" s="142">
        <v>0</v>
      </c>
      <c r="R8" s="139">
        <v>0.04</v>
      </c>
      <c r="S8" s="140">
        <f t="shared" si="0"/>
        <v>0</v>
      </c>
      <c r="T8" s="140">
        <f t="shared" si="1"/>
        <v>0</v>
      </c>
      <c r="U8" s="140">
        <f t="shared" si="2"/>
        <v>0</v>
      </c>
      <c r="V8" s="140">
        <f t="shared" si="3"/>
        <v>0</v>
      </c>
      <c r="W8" s="140">
        <f t="shared" si="4"/>
        <v>0</v>
      </c>
      <c r="X8" s="140">
        <f t="shared" si="5"/>
        <v>0</v>
      </c>
      <c r="Y8" s="140">
        <f t="shared" si="6"/>
        <v>0</v>
      </c>
      <c r="Z8" s="224">
        <f>SUM(S8:Y8)</f>
        <v>0</v>
      </c>
      <c r="AA8" s="427"/>
      <c r="AB8" s="480"/>
    </row>
    <row r="9" spans="1:28" s="16" customFormat="1" ht="55.5" customHeight="1">
      <c r="A9" s="521"/>
      <c r="B9" s="505"/>
      <c r="C9" s="97" t="s">
        <v>477</v>
      </c>
      <c r="D9" s="523"/>
      <c r="E9" s="97" t="s">
        <v>37</v>
      </c>
      <c r="F9" s="344" t="s">
        <v>482</v>
      </c>
      <c r="G9" s="97" t="s">
        <v>34</v>
      </c>
      <c r="H9" s="97" t="s">
        <v>35</v>
      </c>
      <c r="I9" s="97">
        <v>0</v>
      </c>
      <c r="J9" s="97">
        <v>0</v>
      </c>
      <c r="K9" s="97">
        <v>0</v>
      </c>
      <c r="L9" s="97">
        <v>2</v>
      </c>
      <c r="M9" s="97">
        <v>4</v>
      </c>
      <c r="N9" s="97">
        <v>4</v>
      </c>
      <c r="O9" s="97">
        <v>4</v>
      </c>
      <c r="P9" s="3">
        <v>4</v>
      </c>
      <c r="Q9" s="138">
        <v>0</v>
      </c>
      <c r="R9" s="139">
        <v>0.04</v>
      </c>
      <c r="S9" s="140">
        <f t="shared" si="0"/>
        <v>0</v>
      </c>
      <c r="T9" s="140">
        <f t="shared" si="1"/>
        <v>0</v>
      </c>
      <c r="U9" s="140">
        <f t="shared" si="2"/>
        <v>0</v>
      </c>
      <c r="V9" s="140">
        <f t="shared" si="3"/>
        <v>0</v>
      </c>
      <c r="W9" s="140">
        <f t="shared" si="4"/>
        <v>0</v>
      </c>
      <c r="X9" s="140">
        <f t="shared" si="5"/>
        <v>0</v>
      </c>
      <c r="Y9" s="140">
        <f t="shared" si="6"/>
        <v>0</v>
      </c>
      <c r="Z9" s="224">
        <f t="shared" si="7"/>
        <v>0</v>
      </c>
      <c r="AA9" s="427"/>
      <c r="AB9" s="485"/>
    </row>
    <row r="10" spans="1:28" s="16" customFormat="1" ht="87.75" customHeight="1">
      <c r="A10" s="521"/>
      <c r="B10" s="505" t="s">
        <v>95</v>
      </c>
      <c r="C10" s="97" t="s">
        <v>477</v>
      </c>
      <c r="D10" s="510" t="s">
        <v>551</v>
      </c>
      <c r="E10" s="97" t="s">
        <v>37</v>
      </c>
      <c r="F10" s="344" t="s">
        <v>714</v>
      </c>
      <c r="G10" s="97" t="s">
        <v>34</v>
      </c>
      <c r="H10" s="97" t="s">
        <v>35</v>
      </c>
      <c r="I10" s="97">
        <v>0</v>
      </c>
      <c r="J10" s="97">
        <v>2</v>
      </c>
      <c r="K10" s="97">
        <v>2</v>
      </c>
      <c r="L10" s="97">
        <v>2</v>
      </c>
      <c r="M10" s="97">
        <v>2</v>
      </c>
      <c r="N10" s="97">
        <v>2</v>
      </c>
      <c r="O10" s="97">
        <v>2</v>
      </c>
      <c r="P10" s="3">
        <v>2</v>
      </c>
      <c r="Q10" s="142">
        <v>0</v>
      </c>
      <c r="R10" s="139">
        <v>0.04</v>
      </c>
      <c r="S10" s="140">
        <f t="shared" si="0"/>
        <v>0</v>
      </c>
      <c r="T10" s="140">
        <f t="shared" si="1"/>
        <v>0</v>
      </c>
      <c r="U10" s="140">
        <f t="shared" si="2"/>
        <v>0</v>
      </c>
      <c r="V10" s="140">
        <f t="shared" si="3"/>
        <v>0</v>
      </c>
      <c r="W10" s="140">
        <f t="shared" si="4"/>
        <v>0</v>
      </c>
      <c r="X10" s="140">
        <f t="shared" si="5"/>
        <v>0</v>
      </c>
      <c r="Y10" s="140">
        <f t="shared" si="6"/>
        <v>0</v>
      </c>
      <c r="Z10" s="224">
        <f t="shared" si="7"/>
        <v>0</v>
      </c>
      <c r="AA10" s="427">
        <f>SUM(Z10:Z11)</f>
        <v>0</v>
      </c>
      <c r="AB10" s="486" t="s">
        <v>673</v>
      </c>
    </row>
    <row r="11" spans="1:28" s="16" customFormat="1" ht="72.75" customHeight="1" thickBot="1">
      <c r="A11" s="520"/>
      <c r="B11" s="512"/>
      <c r="C11" s="95" t="s">
        <v>477</v>
      </c>
      <c r="D11" s="511"/>
      <c r="E11" s="95" t="s">
        <v>54</v>
      </c>
      <c r="F11" s="345" t="s">
        <v>818</v>
      </c>
      <c r="G11" s="101" t="s">
        <v>35</v>
      </c>
      <c r="H11" s="101" t="s">
        <v>35</v>
      </c>
      <c r="I11" s="101">
        <v>0</v>
      </c>
      <c r="J11" s="72">
        <v>0.5</v>
      </c>
      <c r="K11" s="72">
        <v>0.5</v>
      </c>
      <c r="L11" s="72">
        <v>0.6</v>
      </c>
      <c r="M11" s="72">
        <v>0.6</v>
      </c>
      <c r="N11" s="72">
        <v>0.6</v>
      </c>
      <c r="O11" s="72">
        <v>0.7</v>
      </c>
      <c r="P11" s="73">
        <v>0.7</v>
      </c>
      <c r="Q11" s="177">
        <v>0</v>
      </c>
      <c r="R11" s="146">
        <v>0.04</v>
      </c>
      <c r="S11" s="147">
        <f t="shared" si="0"/>
        <v>0</v>
      </c>
      <c r="T11" s="147">
        <f t="shared" si="1"/>
        <v>0</v>
      </c>
      <c r="U11" s="147">
        <f t="shared" si="2"/>
        <v>0</v>
      </c>
      <c r="V11" s="147">
        <f t="shared" si="3"/>
        <v>0</v>
      </c>
      <c r="W11" s="147">
        <f t="shared" si="4"/>
        <v>0</v>
      </c>
      <c r="X11" s="147">
        <f t="shared" si="5"/>
        <v>0</v>
      </c>
      <c r="Y11" s="147">
        <f t="shared" si="6"/>
        <v>0</v>
      </c>
      <c r="Z11" s="148">
        <f t="shared" si="7"/>
        <v>0</v>
      </c>
      <c r="AA11" s="497"/>
      <c r="AB11" s="481"/>
    </row>
    <row r="12" spans="1:28" s="16" customFormat="1" ht="75.75" customHeight="1">
      <c r="A12" s="519" t="s">
        <v>96</v>
      </c>
      <c r="B12" s="356" t="s">
        <v>97</v>
      </c>
      <c r="C12" s="96" t="s">
        <v>753</v>
      </c>
      <c r="D12" s="96" t="s">
        <v>537</v>
      </c>
      <c r="E12" s="96" t="s">
        <v>37</v>
      </c>
      <c r="F12" s="356" t="s">
        <v>831</v>
      </c>
      <c r="G12" s="96" t="s">
        <v>35</v>
      </c>
      <c r="H12" s="96" t="s">
        <v>35</v>
      </c>
      <c r="I12" s="96">
        <v>0</v>
      </c>
      <c r="J12" s="96">
        <v>1</v>
      </c>
      <c r="K12" s="96">
        <v>1</v>
      </c>
      <c r="L12" s="96">
        <v>1</v>
      </c>
      <c r="M12" s="96">
        <v>1</v>
      </c>
      <c r="N12" s="96">
        <v>1</v>
      </c>
      <c r="O12" s="96">
        <v>1</v>
      </c>
      <c r="P12" s="2">
        <v>1</v>
      </c>
      <c r="Q12" s="135">
        <v>0</v>
      </c>
      <c r="R12" s="136">
        <v>0.04</v>
      </c>
      <c r="S12" s="175">
        <f t="shared" si="0"/>
        <v>0</v>
      </c>
      <c r="T12" s="175">
        <f t="shared" si="1"/>
        <v>0</v>
      </c>
      <c r="U12" s="175">
        <f t="shared" si="2"/>
        <v>0</v>
      </c>
      <c r="V12" s="175">
        <f t="shared" si="3"/>
        <v>0</v>
      </c>
      <c r="W12" s="175">
        <f t="shared" si="4"/>
        <v>0</v>
      </c>
      <c r="X12" s="175">
        <f t="shared" si="5"/>
        <v>0</v>
      </c>
      <c r="Y12" s="175">
        <f t="shared" si="6"/>
        <v>0</v>
      </c>
      <c r="Z12" s="137">
        <f t="shared" si="7"/>
        <v>0</v>
      </c>
      <c r="AA12" s="264">
        <f>Z12</f>
        <v>0</v>
      </c>
      <c r="AB12" s="268" t="s">
        <v>673</v>
      </c>
    </row>
    <row r="13" spans="1:28" s="16" customFormat="1" ht="57" customHeight="1">
      <c r="A13" s="521"/>
      <c r="B13" s="505" t="s">
        <v>98</v>
      </c>
      <c r="C13" s="97" t="s">
        <v>476</v>
      </c>
      <c r="D13" s="510" t="s">
        <v>539</v>
      </c>
      <c r="E13" s="97" t="s">
        <v>37</v>
      </c>
      <c r="F13" s="344" t="s">
        <v>99</v>
      </c>
      <c r="G13" s="97" t="s">
        <v>35</v>
      </c>
      <c r="H13" s="97" t="s">
        <v>35</v>
      </c>
      <c r="I13" s="97">
        <v>0</v>
      </c>
      <c r="J13" s="97">
        <v>1</v>
      </c>
      <c r="K13" s="97">
        <v>0</v>
      </c>
      <c r="L13" s="97">
        <v>0</v>
      </c>
      <c r="M13" s="97">
        <v>0</v>
      </c>
      <c r="N13" s="97">
        <v>0</v>
      </c>
      <c r="O13" s="97">
        <v>0</v>
      </c>
      <c r="P13" s="3">
        <v>0</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427">
        <f>SUM(Z13:Z14)</f>
        <v>34491472.404479995</v>
      </c>
      <c r="AB13" s="486" t="s">
        <v>663</v>
      </c>
    </row>
    <row r="14" spans="1:28" s="16" customFormat="1" ht="105.75" customHeight="1" thickBot="1">
      <c r="A14" s="520"/>
      <c r="B14" s="512"/>
      <c r="C14" s="95" t="s">
        <v>779</v>
      </c>
      <c r="D14" s="511"/>
      <c r="E14" s="95" t="s">
        <v>54</v>
      </c>
      <c r="F14" s="357" t="s">
        <v>819</v>
      </c>
      <c r="G14" s="95" t="s">
        <v>35</v>
      </c>
      <c r="H14" s="95" t="s">
        <v>35</v>
      </c>
      <c r="I14" s="95" t="s">
        <v>100</v>
      </c>
      <c r="J14" s="95">
        <v>0</v>
      </c>
      <c r="K14" s="33">
        <v>1</v>
      </c>
      <c r="L14" s="33">
        <v>1</v>
      </c>
      <c r="M14" s="33">
        <v>1</v>
      </c>
      <c r="N14" s="33">
        <v>1</v>
      </c>
      <c r="O14" s="33">
        <v>1</v>
      </c>
      <c r="P14" s="34">
        <v>1</v>
      </c>
      <c r="Q14" s="177">
        <v>5000000</v>
      </c>
      <c r="R14" s="146">
        <v>0.04</v>
      </c>
      <c r="S14" s="147">
        <f t="shared" si="0"/>
        <v>0</v>
      </c>
      <c r="T14" s="147">
        <f t="shared" si="1"/>
        <v>5200000</v>
      </c>
      <c r="U14" s="147">
        <f t="shared" si="2"/>
        <v>5408000</v>
      </c>
      <c r="V14" s="147">
        <f t="shared" si="3"/>
        <v>5624320</v>
      </c>
      <c r="W14" s="147">
        <f t="shared" si="4"/>
        <v>5849292.7999999998</v>
      </c>
      <c r="X14" s="147">
        <f t="shared" si="5"/>
        <v>6083264.5120000001</v>
      </c>
      <c r="Y14" s="147">
        <f t="shared" si="6"/>
        <v>6326595.0924800001</v>
      </c>
      <c r="Z14" s="148">
        <f t="shared" si="7"/>
        <v>34491472.404479995</v>
      </c>
      <c r="AA14" s="497"/>
      <c r="AB14" s="481"/>
    </row>
    <row r="15" spans="1:28" s="16" customFormat="1" ht="72" customHeight="1">
      <c r="A15" s="519" t="s">
        <v>101</v>
      </c>
      <c r="B15" s="356" t="s">
        <v>102</v>
      </c>
      <c r="C15" s="96" t="s">
        <v>754</v>
      </c>
      <c r="D15" s="96" t="s">
        <v>557</v>
      </c>
      <c r="E15" s="96" t="s">
        <v>37</v>
      </c>
      <c r="F15" s="356" t="s">
        <v>483</v>
      </c>
      <c r="G15" s="96" t="s">
        <v>35</v>
      </c>
      <c r="H15" s="96" t="s">
        <v>35</v>
      </c>
      <c r="I15" s="96" t="s">
        <v>103</v>
      </c>
      <c r="J15" s="96">
        <v>1</v>
      </c>
      <c r="K15" s="96">
        <v>1</v>
      </c>
      <c r="L15" s="96">
        <v>1</v>
      </c>
      <c r="M15" s="96">
        <v>1</v>
      </c>
      <c r="N15" s="96">
        <v>1</v>
      </c>
      <c r="O15" s="96">
        <v>1</v>
      </c>
      <c r="P15" s="2">
        <v>1</v>
      </c>
      <c r="Q15" s="150">
        <v>20000000</v>
      </c>
      <c r="R15" s="178">
        <v>0.04</v>
      </c>
      <c r="S15" s="175">
        <f t="shared" si="0"/>
        <v>20000000</v>
      </c>
      <c r="T15" s="175">
        <f t="shared" si="1"/>
        <v>20800000</v>
      </c>
      <c r="U15" s="175">
        <f t="shared" si="2"/>
        <v>21632000</v>
      </c>
      <c r="V15" s="175">
        <f t="shared" si="3"/>
        <v>22497280</v>
      </c>
      <c r="W15" s="175">
        <f t="shared" si="4"/>
        <v>23397171.199999999</v>
      </c>
      <c r="X15" s="175">
        <f t="shared" si="5"/>
        <v>24333058.048</v>
      </c>
      <c r="Y15" s="175">
        <f t="shared" si="6"/>
        <v>25306380.36992</v>
      </c>
      <c r="Z15" s="179">
        <f t="shared" si="7"/>
        <v>157965889.61791998</v>
      </c>
      <c r="AA15" s="264">
        <f>Z15</f>
        <v>157965889.61791998</v>
      </c>
      <c r="AB15" s="268" t="s">
        <v>663</v>
      </c>
    </row>
    <row r="16" spans="1:28" s="16" customFormat="1" ht="96" customHeight="1" thickBot="1">
      <c r="A16" s="520"/>
      <c r="B16" s="357" t="s">
        <v>104</v>
      </c>
      <c r="C16" s="95" t="s">
        <v>753</v>
      </c>
      <c r="D16" s="95" t="s">
        <v>556</v>
      </c>
      <c r="E16" s="95" t="s">
        <v>37</v>
      </c>
      <c r="F16" s="357" t="s">
        <v>484</v>
      </c>
      <c r="G16" s="95" t="s">
        <v>35</v>
      </c>
      <c r="H16" s="95" t="s">
        <v>35</v>
      </c>
      <c r="I16" s="95" t="s">
        <v>105</v>
      </c>
      <c r="J16" s="95">
        <v>1</v>
      </c>
      <c r="K16" s="95">
        <v>1</v>
      </c>
      <c r="L16" s="95">
        <v>1</v>
      </c>
      <c r="M16" s="95">
        <v>1</v>
      </c>
      <c r="N16" s="95">
        <v>1</v>
      </c>
      <c r="O16" s="95">
        <v>1</v>
      </c>
      <c r="P16" s="15">
        <v>1</v>
      </c>
      <c r="Q16" s="177">
        <v>50000000</v>
      </c>
      <c r="R16" s="146">
        <v>0.04</v>
      </c>
      <c r="S16" s="147">
        <f t="shared" si="0"/>
        <v>50000000</v>
      </c>
      <c r="T16" s="147">
        <f t="shared" si="1"/>
        <v>52000000</v>
      </c>
      <c r="U16" s="147">
        <f t="shared" si="2"/>
        <v>54080000</v>
      </c>
      <c r="V16" s="147">
        <f t="shared" si="3"/>
        <v>56243200</v>
      </c>
      <c r="W16" s="147">
        <f t="shared" si="4"/>
        <v>58492928</v>
      </c>
      <c r="X16" s="147">
        <f t="shared" si="5"/>
        <v>60832645.120000005</v>
      </c>
      <c r="Y16" s="147">
        <f t="shared" si="6"/>
        <v>63265950.924800009</v>
      </c>
      <c r="Z16" s="148">
        <f t="shared" si="7"/>
        <v>394914724.04480004</v>
      </c>
      <c r="AA16" s="269">
        <f>Z16</f>
        <v>394914724.04480004</v>
      </c>
      <c r="AB16" s="266" t="s">
        <v>663</v>
      </c>
    </row>
    <row r="17" spans="1:28" s="16" customFormat="1" ht="65.25" customHeight="1">
      <c r="A17" s="519" t="s">
        <v>106</v>
      </c>
      <c r="B17" s="356" t="s">
        <v>107</v>
      </c>
      <c r="C17" s="96" t="s">
        <v>753</v>
      </c>
      <c r="D17" s="96" t="s">
        <v>538</v>
      </c>
      <c r="E17" s="96" t="s">
        <v>37</v>
      </c>
      <c r="F17" s="356" t="s">
        <v>485</v>
      </c>
      <c r="G17" s="96" t="s">
        <v>35</v>
      </c>
      <c r="H17" s="96" t="s">
        <v>35</v>
      </c>
      <c r="I17" s="96" t="s">
        <v>108</v>
      </c>
      <c r="J17" s="96">
        <v>1</v>
      </c>
      <c r="K17" s="96">
        <v>1</v>
      </c>
      <c r="L17" s="96">
        <v>1</v>
      </c>
      <c r="M17" s="96">
        <v>1</v>
      </c>
      <c r="N17" s="96">
        <v>1</v>
      </c>
      <c r="O17" s="96">
        <v>1</v>
      </c>
      <c r="P17" s="2">
        <v>1</v>
      </c>
      <c r="Q17" s="135">
        <v>5000000</v>
      </c>
      <c r="R17" s="136">
        <v>0.04</v>
      </c>
      <c r="S17" s="175">
        <f t="shared" si="0"/>
        <v>5000000</v>
      </c>
      <c r="T17" s="175">
        <f t="shared" si="1"/>
        <v>5200000</v>
      </c>
      <c r="U17" s="175">
        <f t="shared" si="2"/>
        <v>5408000</v>
      </c>
      <c r="V17" s="175">
        <f t="shared" si="3"/>
        <v>5624320</v>
      </c>
      <c r="W17" s="175">
        <f t="shared" si="4"/>
        <v>5849292.7999999998</v>
      </c>
      <c r="X17" s="175">
        <f t="shared" si="5"/>
        <v>6083264.5120000001</v>
      </c>
      <c r="Y17" s="175">
        <f t="shared" si="6"/>
        <v>6326595.0924800001</v>
      </c>
      <c r="Z17" s="137">
        <f t="shared" si="7"/>
        <v>39491472.404479995</v>
      </c>
      <c r="AA17" s="264">
        <f>Z17</f>
        <v>39491472.404479995</v>
      </c>
      <c r="AB17" s="268" t="s">
        <v>663</v>
      </c>
    </row>
    <row r="18" spans="1:28" s="16" customFormat="1" ht="60.75" customHeight="1">
      <c r="A18" s="521"/>
      <c r="B18" s="505" t="s">
        <v>109</v>
      </c>
      <c r="C18" s="507" t="s">
        <v>778</v>
      </c>
      <c r="D18" s="510" t="s">
        <v>557</v>
      </c>
      <c r="E18" s="97" t="s">
        <v>37</v>
      </c>
      <c r="F18" s="341" t="s">
        <v>824</v>
      </c>
      <c r="G18" s="97" t="s">
        <v>35</v>
      </c>
      <c r="H18" s="97" t="s">
        <v>35</v>
      </c>
      <c r="I18" s="97" t="s">
        <v>110</v>
      </c>
      <c r="J18" s="97">
        <v>1</v>
      </c>
      <c r="K18" s="97">
        <v>0</v>
      </c>
      <c r="L18" s="97">
        <v>0</v>
      </c>
      <c r="M18" s="97">
        <v>0</v>
      </c>
      <c r="N18" s="97">
        <v>0</v>
      </c>
      <c r="O18" s="97">
        <v>0</v>
      </c>
      <c r="P18" s="3">
        <v>0</v>
      </c>
      <c r="Q18" s="138">
        <v>60000000</v>
      </c>
      <c r="R18" s="139">
        <v>0.04</v>
      </c>
      <c r="S18" s="140">
        <f t="shared" si="0"/>
        <v>60000000</v>
      </c>
      <c r="T18" s="140">
        <f t="shared" si="1"/>
        <v>0</v>
      </c>
      <c r="U18" s="140">
        <f t="shared" si="2"/>
        <v>0</v>
      </c>
      <c r="V18" s="140">
        <f t="shared" si="3"/>
        <v>0</v>
      </c>
      <c r="W18" s="140">
        <f t="shared" si="4"/>
        <v>0</v>
      </c>
      <c r="X18" s="140">
        <f t="shared" si="5"/>
        <v>0</v>
      </c>
      <c r="Y18" s="140">
        <f t="shared" si="6"/>
        <v>0</v>
      </c>
      <c r="Z18" s="224">
        <f t="shared" si="7"/>
        <v>60000000</v>
      </c>
      <c r="AA18" s="427">
        <f>SUM(Z18:Z19)</f>
        <v>60000000</v>
      </c>
      <c r="AB18" s="486" t="s">
        <v>662</v>
      </c>
    </row>
    <row r="19" spans="1:28" s="16" customFormat="1" ht="55.5" customHeight="1">
      <c r="A19" s="521"/>
      <c r="B19" s="505"/>
      <c r="C19" s="507"/>
      <c r="D19" s="523"/>
      <c r="E19" s="97" t="s">
        <v>54</v>
      </c>
      <c r="F19" s="341" t="s">
        <v>825</v>
      </c>
      <c r="G19" s="97" t="s">
        <v>35</v>
      </c>
      <c r="H19" s="97" t="s">
        <v>35</v>
      </c>
      <c r="I19" s="97" t="s">
        <v>111</v>
      </c>
      <c r="J19" s="97">
        <v>0</v>
      </c>
      <c r="K19" s="18">
        <v>1</v>
      </c>
      <c r="L19" s="18">
        <v>1</v>
      </c>
      <c r="M19" s="18">
        <v>1</v>
      </c>
      <c r="N19" s="18">
        <v>1</v>
      </c>
      <c r="O19" s="18">
        <v>1</v>
      </c>
      <c r="P19" s="19">
        <v>1</v>
      </c>
      <c r="Q19" s="138">
        <v>0</v>
      </c>
      <c r="R19" s="139">
        <v>0.04</v>
      </c>
      <c r="S19" s="140">
        <f t="shared" si="0"/>
        <v>0</v>
      </c>
      <c r="T19" s="140">
        <f t="shared" si="1"/>
        <v>0</v>
      </c>
      <c r="U19" s="140">
        <f t="shared" si="2"/>
        <v>0</v>
      </c>
      <c r="V19" s="140">
        <f t="shared" si="3"/>
        <v>0</v>
      </c>
      <c r="W19" s="140">
        <f t="shared" si="4"/>
        <v>0</v>
      </c>
      <c r="X19" s="140">
        <f t="shared" si="5"/>
        <v>0</v>
      </c>
      <c r="Y19" s="140">
        <f t="shared" si="6"/>
        <v>0</v>
      </c>
      <c r="Z19" s="224">
        <f t="shared" si="7"/>
        <v>0</v>
      </c>
      <c r="AA19" s="427"/>
      <c r="AB19" s="485"/>
    </row>
    <row r="20" spans="1:28" s="16" customFormat="1" ht="81.75" customHeight="1">
      <c r="A20" s="521"/>
      <c r="B20" s="344" t="s">
        <v>112</v>
      </c>
      <c r="C20" s="97" t="s">
        <v>478</v>
      </c>
      <c r="D20" s="97" t="s">
        <v>538</v>
      </c>
      <c r="E20" s="97" t="s">
        <v>37</v>
      </c>
      <c r="F20" s="341" t="s">
        <v>113</v>
      </c>
      <c r="G20" s="100" t="s">
        <v>35</v>
      </c>
      <c r="H20" s="100" t="s">
        <v>35</v>
      </c>
      <c r="I20" s="100" t="s">
        <v>114</v>
      </c>
      <c r="J20" s="30">
        <v>1</v>
      </c>
      <c r="K20" s="30">
        <v>1</v>
      </c>
      <c r="L20" s="30">
        <v>1</v>
      </c>
      <c r="M20" s="30">
        <v>1</v>
      </c>
      <c r="N20" s="30">
        <v>1</v>
      </c>
      <c r="O20" s="30">
        <v>1</v>
      </c>
      <c r="P20" s="31">
        <v>1</v>
      </c>
      <c r="Q20" s="138">
        <v>0</v>
      </c>
      <c r="R20" s="139">
        <v>0.04</v>
      </c>
      <c r="S20" s="140">
        <f t="shared" si="0"/>
        <v>0</v>
      </c>
      <c r="T20" s="140">
        <f t="shared" si="1"/>
        <v>0</v>
      </c>
      <c r="U20" s="140">
        <f t="shared" si="2"/>
        <v>0</v>
      </c>
      <c r="V20" s="140">
        <f t="shared" si="3"/>
        <v>0</v>
      </c>
      <c r="W20" s="140">
        <f t="shared" si="4"/>
        <v>0</v>
      </c>
      <c r="X20" s="140">
        <f t="shared" si="5"/>
        <v>0</v>
      </c>
      <c r="Y20" s="140">
        <f t="shared" si="6"/>
        <v>0</v>
      </c>
      <c r="Z20" s="224">
        <f t="shared" si="7"/>
        <v>0</v>
      </c>
      <c r="AA20" s="261">
        <f>Z20</f>
        <v>0</v>
      </c>
      <c r="AB20" s="265" t="s">
        <v>673</v>
      </c>
    </row>
    <row r="21" spans="1:28" s="16" customFormat="1" ht="77.25" customHeight="1">
      <c r="A21" s="521"/>
      <c r="B21" s="505" t="s">
        <v>115</v>
      </c>
      <c r="C21" s="97" t="s">
        <v>778</v>
      </c>
      <c r="D21" s="510" t="s">
        <v>539</v>
      </c>
      <c r="E21" s="97" t="s">
        <v>37</v>
      </c>
      <c r="F21" s="344" t="s">
        <v>116</v>
      </c>
      <c r="G21" s="97" t="s">
        <v>35</v>
      </c>
      <c r="H21" s="97" t="s">
        <v>35</v>
      </c>
      <c r="I21" s="97" t="s">
        <v>117</v>
      </c>
      <c r="J21" s="97">
        <v>1</v>
      </c>
      <c r="K21" s="97">
        <v>0</v>
      </c>
      <c r="L21" s="97">
        <v>0</v>
      </c>
      <c r="M21" s="97">
        <v>0</v>
      </c>
      <c r="N21" s="97">
        <v>0</v>
      </c>
      <c r="O21" s="97">
        <v>0</v>
      </c>
      <c r="P21" s="3">
        <v>0</v>
      </c>
      <c r="Q21" s="138">
        <v>0</v>
      </c>
      <c r="R21" s="139">
        <v>0.04</v>
      </c>
      <c r="S21" s="140">
        <f t="shared" si="0"/>
        <v>0</v>
      </c>
      <c r="T21" s="140">
        <f t="shared" si="1"/>
        <v>0</v>
      </c>
      <c r="U21" s="140">
        <f t="shared" si="2"/>
        <v>0</v>
      </c>
      <c r="V21" s="140">
        <f t="shared" si="3"/>
        <v>0</v>
      </c>
      <c r="W21" s="140">
        <f t="shared" si="4"/>
        <v>0</v>
      </c>
      <c r="X21" s="140">
        <f t="shared" si="5"/>
        <v>0</v>
      </c>
      <c r="Y21" s="140">
        <f t="shared" si="6"/>
        <v>0</v>
      </c>
      <c r="Z21" s="224">
        <f t="shared" si="7"/>
        <v>0</v>
      </c>
      <c r="AA21" s="427">
        <f>SUM(Z21:Z22)</f>
        <v>72432092.049408004</v>
      </c>
      <c r="AB21" s="486" t="s">
        <v>662</v>
      </c>
    </row>
    <row r="22" spans="1:28" s="16" customFormat="1" ht="75" customHeight="1">
      <c r="A22" s="521"/>
      <c r="B22" s="505"/>
      <c r="C22" s="97" t="s">
        <v>778</v>
      </c>
      <c r="D22" s="523"/>
      <c r="E22" s="97" t="s">
        <v>54</v>
      </c>
      <c r="F22" s="344" t="s">
        <v>826</v>
      </c>
      <c r="G22" s="97" t="s">
        <v>35</v>
      </c>
      <c r="H22" s="97" t="s">
        <v>35</v>
      </c>
      <c r="I22" s="97" t="s">
        <v>118</v>
      </c>
      <c r="J22" s="97">
        <v>0</v>
      </c>
      <c r="K22" s="18">
        <v>1</v>
      </c>
      <c r="L22" s="18">
        <v>1</v>
      </c>
      <c r="M22" s="18">
        <v>1</v>
      </c>
      <c r="N22" s="18">
        <v>1</v>
      </c>
      <c r="O22" s="18">
        <v>1</v>
      </c>
      <c r="P22" s="19">
        <v>1</v>
      </c>
      <c r="Q22" s="138">
        <v>10500000</v>
      </c>
      <c r="R22" s="139">
        <v>0.04</v>
      </c>
      <c r="S22" s="140">
        <f t="shared" si="0"/>
        <v>0</v>
      </c>
      <c r="T22" s="140">
        <f t="shared" si="1"/>
        <v>10920000</v>
      </c>
      <c r="U22" s="140">
        <f t="shared" si="2"/>
        <v>11356800</v>
      </c>
      <c r="V22" s="140">
        <f t="shared" si="3"/>
        <v>11811072</v>
      </c>
      <c r="W22" s="140">
        <f t="shared" si="4"/>
        <v>12283514.880000001</v>
      </c>
      <c r="X22" s="140">
        <f t="shared" si="5"/>
        <v>12774855.475200001</v>
      </c>
      <c r="Y22" s="140">
        <f t="shared" si="6"/>
        <v>13285849.694208002</v>
      </c>
      <c r="Z22" s="224">
        <f t="shared" si="7"/>
        <v>72432092.049408004</v>
      </c>
      <c r="AA22" s="427"/>
      <c r="AB22" s="485"/>
    </row>
    <row r="23" spans="1:28" s="16" customFormat="1" ht="105" customHeight="1" thickBot="1">
      <c r="A23" s="520"/>
      <c r="B23" s="357" t="s">
        <v>119</v>
      </c>
      <c r="C23" s="95" t="s">
        <v>776</v>
      </c>
      <c r="D23" s="95" t="s">
        <v>548</v>
      </c>
      <c r="E23" s="95" t="s">
        <v>37</v>
      </c>
      <c r="F23" s="357" t="s">
        <v>486</v>
      </c>
      <c r="G23" s="95" t="s">
        <v>34</v>
      </c>
      <c r="H23" s="95" t="s">
        <v>35</v>
      </c>
      <c r="I23" s="95" t="s">
        <v>120</v>
      </c>
      <c r="J23" s="95">
        <v>6</v>
      </c>
      <c r="K23" s="95">
        <v>6</v>
      </c>
      <c r="L23" s="95">
        <v>6</v>
      </c>
      <c r="M23" s="95">
        <v>6</v>
      </c>
      <c r="N23" s="95">
        <v>6</v>
      </c>
      <c r="O23" s="95">
        <v>6</v>
      </c>
      <c r="P23" s="15">
        <v>6</v>
      </c>
      <c r="Q23" s="177">
        <v>0</v>
      </c>
      <c r="R23" s="146">
        <v>0.04</v>
      </c>
      <c r="S23" s="147">
        <f t="shared" si="0"/>
        <v>0</v>
      </c>
      <c r="T23" s="147">
        <f t="shared" si="1"/>
        <v>0</v>
      </c>
      <c r="U23" s="147">
        <f t="shared" si="2"/>
        <v>0</v>
      </c>
      <c r="V23" s="147">
        <f t="shared" si="3"/>
        <v>0</v>
      </c>
      <c r="W23" s="147">
        <f t="shared" si="4"/>
        <v>0</v>
      </c>
      <c r="X23" s="147">
        <f t="shared" si="5"/>
        <v>0</v>
      </c>
      <c r="Y23" s="147">
        <f t="shared" si="6"/>
        <v>0</v>
      </c>
      <c r="Z23" s="148">
        <f t="shared" si="7"/>
        <v>0</v>
      </c>
      <c r="AA23" s="269">
        <f>Z23</f>
        <v>0</v>
      </c>
      <c r="AB23" s="266" t="s">
        <v>673</v>
      </c>
    </row>
    <row r="24" spans="1:28" s="16" customFormat="1" ht="93.75" customHeight="1" thickBot="1">
      <c r="A24" s="104" t="s">
        <v>121</v>
      </c>
      <c r="B24" s="359" t="s">
        <v>122</v>
      </c>
      <c r="C24" s="76" t="s">
        <v>477</v>
      </c>
      <c r="D24" s="76" t="s">
        <v>537</v>
      </c>
      <c r="E24" s="76" t="s">
        <v>37</v>
      </c>
      <c r="F24" s="359" t="s">
        <v>123</v>
      </c>
      <c r="G24" s="76" t="s">
        <v>35</v>
      </c>
      <c r="H24" s="76" t="s">
        <v>35</v>
      </c>
      <c r="I24" s="76" t="s">
        <v>124</v>
      </c>
      <c r="J24" s="76">
        <v>1</v>
      </c>
      <c r="K24" s="76">
        <v>1</v>
      </c>
      <c r="L24" s="76">
        <v>1</v>
      </c>
      <c r="M24" s="76">
        <v>1</v>
      </c>
      <c r="N24" s="76">
        <v>1</v>
      </c>
      <c r="O24" s="76">
        <v>1</v>
      </c>
      <c r="P24" s="118">
        <v>1</v>
      </c>
      <c r="Q24" s="310">
        <v>0</v>
      </c>
      <c r="R24" s="180">
        <v>0.04</v>
      </c>
      <c r="S24" s="181">
        <f t="shared" si="0"/>
        <v>0</v>
      </c>
      <c r="T24" s="181">
        <f t="shared" si="1"/>
        <v>0</v>
      </c>
      <c r="U24" s="181">
        <f t="shared" si="2"/>
        <v>0</v>
      </c>
      <c r="V24" s="181">
        <f t="shared" si="3"/>
        <v>0</v>
      </c>
      <c r="W24" s="181">
        <f t="shared" si="4"/>
        <v>0</v>
      </c>
      <c r="X24" s="181">
        <f t="shared" si="5"/>
        <v>0</v>
      </c>
      <c r="Y24" s="181">
        <f t="shared" si="6"/>
        <v>0</v>
      </c>
      <c r="Z24" s="182">
        <f t="shared" si="7"/>
        <v>0</v>
      </c>
      <c r="AA24" s="274">
        <f>Z24</f>
        <v>0</v>
      </c>
      <c r="AB24" s="275" t="s">
        <v>673</v>
      </c>
    </row>
    <row r="25" spans="1:28" s="16" customFormat="1" ht="73.5" customHeight="1">
      <c r="A25" s="519" t="s">
        <v>125</v>
      </c>
      <c r="B25" s="356" t="s">
        <v>126</v>
      </c>
      <c r="C25" s="96" t="s">
        <v>774</v>
      </c>
      <c r="D25" s="96" t="s">
        <v>557</v>
      </c>
      <c r="E25" s="96" t="s">
        <v>37</v>
      </c>
      <c r="F25" s="356" t="s">
        <v>127</v>
      </c>
      <c r="G25" s="96" t="s">
        <v>35</v>
      </c>
      <c r="H25" s="96" t="s">
        <v>35</v>
      </c>
      <c r="I25" s="96">
        <v>0</v>
      </c>
      <c r="J25" s="96">
        <v>1</v>
      </c>
      <c r="K25" s="96">
        <v>1</v>
      </c>
      <c r="L25" s="96">
        <v>1</v>
      </c>
      <c r="M25" s="96">
        <v>1</v>
      </c>
      <c r="N25" s="96">
        <v>1</v>
      </c>
      <c r="O25" s="96">
        <v>1</v>
      </c>
      <c r="P25" s="2">
        <v>1</v>
      </c>
      <c r="Q25" s="135">
        <v>0</v>
      </c>
      <c r="R25" s="136">
        <v>0.04</v>
      </c>
      <c r="S25" s="175">
        <f t="shared" si="0"/>
        <v>0</v>
      </c>
      <c r="T25" s="175">
        <f t="shared" si="1"/>
        <v>0</v>
      </c>
      <c r="U25" s="175">
        <f t="shared" si="2"/>
        <v>0</v>
      </c>
      <c r="V25" s="175">
        <f t="shared" si="3"/>
        <v>0</v>
      </c>
      <c r="W25" s="175">
        <f t="shared" si="4"/>
        <v>0</v>
      </c>
      <c r="X25" s="175">
        <f t="shared" si="5"/>
        <v>0</v>
      </c>
      <c r="Y25" s="175">
        <f t="shared" si="6"/>
        <v>0</v>
      </c>
      <c r="Z25" s="137">
        <f t="shared" si="7"/>
        <v>0</v>
      </c>
      <c r="AA25" s="264">
        <f>Z25</f>
        <v>0</v>
      </c>
      <c r="AB25" s="268" t="s">
        <v>673</v>
      </c>
    </row>
    <row r="26" spans="1:28" s="16" customFormat="1" ht="65.25" customHeight="1">
      <c r="A26" s="521"/>
      <c r="B26" s="505" t="s">
        <v>128</v>
      </c>
      <c r="C26" s="97" t="s">
        <v>477</v>
      </c>
      <c r="D26" s="510" t="s">
        <v>557</v>
      </c>
      <c r="E26" s="97" t="s">
        <v>37</v>
      </c>
      <c r="F26" s="344" t="s">
        <v>129</v>
      </c>
      <c r="G26" s="97" t="s">
        <v>35</v>
      </c>
      <c r="H26" s="97" t="s">
        <v>35</v>
      </c>
      <c r="I26" s="97" t="s">
        <v>130</v>
      </c>
      <c r="J26" s="97">
        <v>1</v>
      </c>
      <c r="K26" s="97">
        <v>0</v>
      </c>
      <c r="L26" s="97">
        <v>0</v>
      </c>
      <c r="M26" s="97">
        <v>0</v>
      </c>
      <c r="N26" s="97">
        <v>0</v>
      </c>
      <c r="O26" s="97">
        <v>0</v>
      </c>
      <c r="P26" s="3">
        <v>0</v>
      </c>
      <c r="Q26" s="138">
        <v>0</v>
      </c>
      <c r="R26" s="139">
        <v>0.04</v>
      </c>
      <c r="S26" s="140">
        <f t="shared" si="0"/>
        <v>0</v>
      </c>
      <c r="T26" s="140">
        <f>IF(K26&lt;&gt;0,(IF(S26&lt;&gt;0,(S26*$R$2),($Q26*$R$2))),0)</f>
        <v>0</v>
      </c>
      <c r="U26" s="140">
        <f t="shared" si="2"/>
        <v>0</v>
      </c>
      <c r="V26" s="140">
        <f t="shared" si="3"/>
        <v>0</v>
      </c>
      <c r="W26" s="140">
        <f t="shared" si="4"/>
        <v>0</v>
      </c>
      <c r="X26" s="140">
        <f t="shared" si="5"/>
        <v>0</v>
      </c>
      <c r="Y26" s="140">
        <f t="shared" si="6"/>
        <v>0</v>
      </c>
      <c r="Z26" s="224">
        <f t="shared" si="7"/>
        <v>0</v>
      </c>
      <c r="AA26" s="427">
        <f>SUM(Z26:Z27)</f>
        <v>0</v>
      </c>
      <c r="AB26" s="486" t="s">
        <v>673</v>
      </c>
    </row>
    <row r="27" spans="1:28" s="16" customFormat="1" ht="65.25" customHeight="1" thickBot="1">
      <c r="A27" s="522"/>
      <c r="B27" s="513"/>
      <c r="C27" s="98" t="s">
        <v>477</v>
      </c>
      <c r="D27" s="511"/>
      <c r="E27" s="98" t="s">
        <v>54</v>
      </c>
      <c r="F27" s="358" t="s">
        <v>827</v>
      </c>
      <c r="G27" s="98" t="s">
        <v>35</v>
      </c>
      <c r="H27" s="98" t="s">
        <v>35</v>
      </c>
      <c r="I27" s="98" t="s">
        <v>131</v>
      </c>
      <c r="J27" s="98">
        <v>0</v>
      </c>
      <c r="K27" s="5">
        <v>1</v>
      </c>
      <c r="L27" s="5">
        <v>1</v>
      </c>
      <c r="M27" s="5">
        <v>1</v>
      </c>
      <c r="N27" s="5">
        <v>1</v>
      </c>
      <c r="O27" s="5">
        <v>1</v>
      </c>
      <c r="P27" s="22">
        <v>1</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7"/>
        <v>0</v>
      </c>
      <c r="AA27" s="497"/>
      <c r="AB27" s="481"/>
    </row>
    <row r="28" spans="1:28">
      <c r="D28" s="28"/>
      <c r="E28" s="28"/>
      <c r="G28" s="28"/>
      <c r="H28" s="28"/>
    </row>
    <row r="29" spans="1:28">
      <c r="A29" s="526"/>
      <c r="B29" s="526"/>
      <c r="C29" s="526"/>
      <c r="D29" s="526"/>
      <c r="E29" s="526"/>
      <c r="F29" s="526"/>
      <c r="G29" s="526"/>
      <c r="H29" s="526"/>
      <c r="I29" s="526"/>
      <c r="J29" s="526"/>
      <c r="K29" s="526"/>
      <c r="L29" s="526"/>
      <c r="M29" s="526"/>
      <c r="N29" s="526"/>
      <c r="O29" s="526"/>
      <c r="P29" s="526"/>
    </row>
  </sheetData>
  <sheetProtection algorithmName="SHA-512" hashValue="I2pPYfddTEqGgTuFtf9PvsFWJ1K5cEpy6InejEXaSj3nMH9fxIKLTyewriatw7NLvISjKTLlYDnj28le1E3dgA==" saltValue="doDUJiFuE8RTXZl2IW/nVA==" spinCount="100000" sheet="1" objects="1" scenarios="1"/>
  <mergeCells count="50">
    <mergeCell ref="AA26:AA27"/>
    <mergeCell ref="AA18:AA19"/>
    <mergeCell ref="R3:R4"/>
    <mergeCell ref="S3:Y3"/>
    <mergeCell ref="Z3:Z4"/>
    <mergeCell ref="AA3:AA4"/>
    <mergeCell ref="AA7:AA9"/>
    <mergeCell ref="AA21:AA22"/>
    <mergeCell ref="A29:P29"/>
    <mergeCell ref="J3:P3"/>
    <mergeCell ref="A5:A6"/>
    <mergeCell ref="A7:A11"/>
    <mergeCell ref="B7:B9"/>
    <mergeCell ref="B10:B11"/>
    <mergeCell ref="A12:A14"/>
    <mergeCell ref="D3:D4"/>
    <mergeCell ref="E3:E4"/>
    <mergeCell ref="F3:F4"/>
    <mergeCell ref="G3:G4"/>
    <mergeCell ref="H3:H4"/>
    <mergeCell ref="I3:I4"/>
    <mergeCell ref="B13:B14"/>
    <mergeCell ref="D26:D27"/>
    <mergeCell ref="D7:D9"/>
    <mergeCell ref="A1:P1"/>
    <mergeCell ref="A3:A4"/>
    <mergeCell ref="B3:B4"/>
    <mergeCell ref="C3:C4"/>
    <mergeCell ref="A2:P2"/>
    <mergeCell ref="AB26:AB27"/>
    <mergeCell ref="AB3:AB4"/>
    <mergeCell ref="Q3:Q4"/>
    <mergeCell ref="A15:A16"/>
    <mergeCell ref="A17:A23"/>
    <mergeCell ref="B18:B19"/>
    <mergeCell ref="C18:C19"/>
    <mergeCell ref="B21:B22"/>
    <mergeCell ref="A25:A27"/>
    <mergeCell ref="B26:B27"/>
    <mergeCell ref="D10:D11"/>
    <mergeCell ref="D13:D14"/>
    <mergeCell ref="D18:D19"/>
    <mergeCell ref="D21:D22"/>
    <mergeCell ref="AA10:AA11"/>
    <mergeCell ref="AA13:AA14"/>
    <mergeCell ref="AB7:AB9"/>
    <mergeCell ref="AB10:AB11"/>
    <mergeCell ref="AB13:AB14"/>
    <mergeCell ref="AB18:AB19"/>
    <mergeCell ref="AB21:AB22"/>
  </mergeCells>
  <pageMargins left="0.7" right="0.7" top="0.75" bottom="0.75" header="0.3" footer="0.3"/>
  <pageSetup orientation="portrait" horizontalDpi="1200" verticalDpi="1200" r:id="rId1"/>
  <ignoredErrors>
    <ignoredError sqref="Z13 Z20 Z27 AA24 Z12 Z14 AA25:AA27 AA21 Z16 Z17 Z18 Z19 Z21 Z22 Z23 Z24 Z25 Z26 T22:Y24 T25:Y25 T27:Y27 U26:Y26"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G5:G27</xm:sqref>
        </x14:dataValidation>
        <x14:dataValidation type="list" allowBlank="1" showInputMessage="1" showErrorMessage="1">
          <x14:formula1>
            <xm:f>Hoja2!$A$1:$A$3</xm:f>
          </x14:formula1>
          <xm:sqref>E5:E27</xm:sqref>
        </x14:dataValidation>
        <x14:dataValidation type="list" allowBlank="1" showInputMessage="1" showErrorMessage="1">
          <x14:formula1>
            <xm:f>Hoja2!$E$15:$E$26</xm:f>
          </x14:formula1>
          <xm:sqref>AB5:AB27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1"/>
  <sheetViews>
    <sheetView zoomScale="80" zoomScaleNormal="80" zoomScalePageLayoutView="50" workbookViewId="0">
      <selection sqref="A1:P1"/>
    </sheetView>
  </sheetViews>
  <sheetFormatPr baseColWidth="10" defaultColWidth="11" defaultRowHeight="15.75"/>
  <cols>
    <col min="1" max="1" width="28.375" customWidth="1"/>
    <col min="2" max="2" width="52.875" customWidth="1"/>
    <col min="3" max="3" width="22.125" customWidth="1"/>
    <col min="5" max="5" width="13.5" customWidth="1"/>
    <col min="6" max="6" width="31.125" customWidth="1"/>
    <col min="7" max="7" width="14.875" customWidth="1"/>
    <col min="8" max="8" width="19.625"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2" customHeight="1" thickBot="1">
      <c r="A2" s="524"/>
      <c r="B2" s="524"/>
      <c r="C2" s="524"/>
      <c r="D2" s="524"/>
      <c r="E2" s="524"/>
      <c r="F2" s="524"/>
      <c r="G2" s="524"/>
      <c r="H2" s="524"/>
      <c r="I2" s="524"/>
      <c r="J2" s="524"/>
      <c r="K2" s="524"/>
      <c r="L2" s="524"/>
      <c r="M2" s="524"/>
      <c r="N2" s="524"/>
      <c r="O2" s="524"/>
      <c r="P2" s="525"/>
      <c r="R2" s="324">
        <f>R5+1</f>
        <v>1.04</v>
      </c>
    </row>
    <row r="3" spans="1:28"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28"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78" customHeight="1">
      <c r="A5" s="519" t="s">
        <v>133</v>
      </c>
      <c r="B5" s="504" t="s">
        <v>693</v>
      </c>
      <c r="C5" s="506" t="s">
        <v>134</v>
      </c>
      <c r="D5" s="506" t="s">
        <v>537</v>
      </c>
      <c r="E5" s="96" t="s">
        <v>37</v>
      </c>
      <c r="F5" s="346" t="s">
        <v>135</v>
      </c>
      <c r="G5" s="96" t="s">
        <v>35</v>
      </c>
      <c r="H5" s="96" t="s">
        <v>35</v>
      </c>
      <c r="I5" s="20">
        <v>0</v>
      </c>
      <c r="J5" s="96">
        <v>1</v>
      </c>
      <c r="K5" s="96">
        <v>1</v>
      </c>
      <c r="L5" s="96">
        <v>1</v>
      </c>
      <c r="M5" s="96">
        <v>1</v>
      </c>
      <c r="N5" s="96">
        <v>1</v>
      </c>
      <c r="O5" s="96">
        <v>1</v>
      </c>
      <c r="P5" s="2">
        <v>1</v>
      </c>
      <c r="Q5" s="135">
        <v>0</v>
      </c>
      <c r="R5" s="136">
        <v>0.04</v>
      </c>
      <c r="S5" s="140">
        <f t="shared" ref="S5:S14" si="0">IF(J5&lt;&gt;0,Q5,0)</f>
        <v>0</v>
      </c>
      <c r="T5" s="140">
        <f t="shared" ref="T5:T14" si="1">IF(K5&lt;&gt;0,(IF(S5&lt;&gt;0,(S5*$R$2),($Q5*$R$2))),0)</f>
        <v>0</v>
      </c>
      <c r="U5" s="140">
        <f t="shared" ref="U5:U14" si="2">IF(L5&lt;&gt;0,(IF(T5&lt;&gt;0,(T5*$R$2),(($Q5*$R$2)*$R$2))),0)</f>
        <v>0</v>
      </c>
      <c r="V5" s="140">
        <f t="shared" ref="V5:V14" si="3">IF(M5&lt;&gt;0,(IF(U5&lt;&gt;0,(U5*$R$2),(($Q5*$R$2)*$R$2*$R$2))),0)</f>
        <v>0</v>
      </c>
      <c r="W5" s="140">
        <f t="shared" ref="W5:W14" si="4">IF(N5&lt;&gt;0,(IF(V5&lt;&gt;0,(V5*$R$2),(($Q5*$R$2)*$R$2*$R$2*$R$2))),0)</f>
        <v>0</v>
      </c>
      <c r="X5" s="140">
        <f t="shared" ref="X5:X14" si="5">IF(O5&lt;&gt;0,(IF(W5&lt;&gt;0,(W5*$R$2),(($Q5*$R$2)*$R$2*$R$2*$R$2*$R$2))),0)</f>
        <v>0</v>
      </c>
      <c r="Y5" s="140">
        <f t="shared" ref="Y5:Y14" si="6">IF(P5&lt;&gt;0,(IF(X5&lt;&gt;0,(X5*$R$2),(($Q5*$R$2)*$R$2*$R$2*$R$2*$R$2*$R$2))),0)</f>
        <v>0</v>
      </c>
      <c r="Z5" s="137">
        <f>SUM(S5:Y5)</f>
        <v>0</v>
      </c>
      <c r="AA5" s="445">
        <f>SUM(Z5:Z6)</f>
        <v>0</v>
      </c>
      <c r="AB5" s="486" t="s">
        <v>673</v>
      </c>
    </row>
    <row r="6" spans="1:28" s="16" customFormat="1" ht="105" customHeight="1" thickBot="1">
      <c r="A6" s="520"/>
      <c r="B6" s="512"/>
      <c r="C6" s="510"/>
      <c r="D6" s="510"/>
      <c r="E6" s="95" t="s">
        <v>54</v>
      </c>
      <c r="F6" s="357" t="s">
        <v>136</v>
      </c>
      <c r="G6" s="95" t="s">
        <v>35</v>
      </c>
      <c r="H6" s="95" t="s">
        <v>35</v>
      </c>
      <c r="I6" s="32">
        <v>0.33</v>
      </c>
      <c r="J6" s="33">
        <v>0.5</v>
      </c>
      <c r="K6" s="33">
        <v>0.52</v>
      </c>
      <c r="L6" s="33">
        <v>0.57999999999999996</v>
      </c>
      <c r="M6" s="33">
        <v>0.6</v>
      </c>
      <c r="N6" s="33">
        <v>0.62</v>
      </c>
      <c r="O6" s="33">
        <v>0.68</v>
      </c>
      <c r="P6" s="34">
        <v>0.7</v>
      </c>
      <c r="Q6" s="177">
        <v>0</v>
      </c>
      <c r="R6" s="146">
        <v>0.04</v>
      </c>
      <c r="S6" s="147">
        <f t="shared" si="0"/>
        <v>0</v>
      </c>
      <c r="T6" s="147">
        <f t="shared" si="1"/>
        <v>0</v>
      </c>
      <c r="U6" s="147">
        <f t="shared" si="2"/>
        <v>0</v>
      </c>
      <c r="V6" s="147">
        <f t="shared" si="3"/>
        <v>0</v>
      </c>
      <c r="W6" s="147">
        <f t="shared" si="4"/>
        <v>0</v>
      </c>
      <c r="X6" s="147">
        <f t="shared" si="5"/>
        <v>0</v>
      </c>
      <c r="Y6" s="147">
        <f t="shared" si="6"/>
        <v>0</v>
      </c>
      <c r="Z6" s="148">
        <f t="shared" ref="Z6:Z14" si="7">SUM(S6:Y6)</f>
        <v>0</v>
      </c>
      <c r="AA6" s="444"/>
      <c r="AB6" s="481"/>
    </row>
    <row r="7" spans="1:28" s="16" customFormat="1" ht="71.25" customHeight="1">
      <c r="A7" s="519" t="s">
        <v>137</v>
      </c>
      <c r="B7" s="504" t="s">
        <v>138</v>
      </c>
      <c r="C7" s="506" t="s">
        <v>772</v>
      </c>
      <c r="D7" s="506" t="s">
        <v>540</v>
      </c>
      <c r="E7" s="96" t="s">
        <v>37</v>
      </c>
      <c r="F7" s="356" t="s">
        <v>487</v>
      </c>
      <c r="G7" s="96" t="s">
        <v>35</v>
      </c>
      <c r="H7" s="96" t="s">
        <v>35</v>
      </c>
      <c r="I7" s="20" t="s">
        <v>139</v>
      </c>
      <c r="J7" s="35">
        <v>1</v>
      </c>
      <c r="K7" s="35">
        <v>0</v>
      </c>
      <c r="L7" s="35">
        <v>0</v>
      </c>
      <c r="M7" s="35">
        <v>0</v>
      </c>
      <c r="N7" s="35">
        <v>0</v>
      </c>
      <c r="O7" s="35">
        <v>0</v>
      </c>
      <c r="P7" s="36">
        <v>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94">
        <f>SUM(Z7:Z11)</f>
        <v>1479658896.1792002</v>
      </c>
      <c r="AB7" s="484" t="s">
        <v>657</v>
      </c>
    </row>
    <row r="8" spans="1:28" s="16" customFormat="1" ht="55.5" customHeight="1">
      <c r="A8" s="521"/>
      <c r="B8" s="505"/>
      <c r="C8" s="507"/>
      <c r="D8" s="507"/>
      <c r="E8" s="100" t="s">
        <v>54</v>
      </c>
      <c r="F8" s="341" t="s">
        <v>488</v>
      </c>
      <c r="G8" s="100" t="s">
        <v>35</v>
      </c>
      <c r="H8" s="100" t="s">
        <v>159</v>
      </c>
      <c r="I8" s="37">
        <v>0</v>
      </c>
      <c r="J8" s="30">
        <v>0.2</v>
      </c>
      <c r="K8" s="30">
        <v>0.3</v>
      </c>
      <c r="L8" s="30">
        <v>0.4</v>
      </c>
      <c r="M8" s="30">
        <v>0.5</v>
      </c>
      <c r="N8" s="30">
        <v>0.6</v>
      </c>
      <c r="O8" s="30">
        <v>0.7</v>
      </c>
      <c r="P8" s="31">
        <v>0.8</v>
      </c>
      <c r="Q8" s="142">
        <v>0</v>
      </c>
      <c r="R8" s="139">
        <v>0.04</v>
      </c>
      <c r="S8" s="140">
        <f t="shared" si="0"/>
        <v>0</v>
      </c>
      <c r="T8" s="140">
        <f t="shared" si="1"/>
        <v>0</v>
      </c>
      <c r="U8" s="140">
        <f t="shared" si="2"/>
        <v>0</v>
      </c>
      <c r="V8" s="140">
        <f t="shared" si="3"/>
        <v>0</v>
      </c>
      <c r="W8" s="140">
        <f t="shared" si="4"/>
        <v>0</v>
      </c>
      <c r="X8" s="140">
        <f t="shared" si="5"/>
        <v>0</v>
      </c>
      <c r="Y8" s="140">
        <f t="shared" si="6"/>
        <v>0</v>
      </c>
      <c r="Z8" s="224">
        <f t="shared" si="7"/>
        <v>0</v>
      </c>
      <c r="AA8" s="427"/>
      <c r="AB8" s="480"/>
    </row>
    <row r="9" spans="1:28" s="16" customFormat="1" ht="87.75" customHeight="1">
      <c r="A9" s="521"/>
      <c r="B9" s="505"/>
      <c r="C9" s="507"/>
      <c r="D9" s="507"/>
      <c r="E9" s="100" t="s">
        <v>54</v>
      </c>
      <c r="F9" s="341" t="s">
        <v>140</v>
      </c>
      <c r="G9" s="100" t="s">
        <v>35</v>
      </c>
      <c r="H9" s="100" t="s">
        <v>35</v>
      </c>
      <c r="I9" s="37">
        <v>3</v>
      </c>
      <c r="J9" s="38">
        <v>0</v>
      </c>
      <c r="K9" s="38">
        <v>1</v>
      </c>
      <c r="L9" s="38">
        <v>1</v>
      </c>
      <c r="M9" s="38">
        <v>2</v>
      </c>
      <c r="N9" s="38">
        <v>2</v>
      </c>
      <c r="O9" s="38">
        <v>2</v>
      </c>
      <c r="P9" s="39">
        <v>2</v>
      </c>
      <c r="Q9" s="138">
        <v>0</v>
      </c>
      <c r="R9" s="139">
        <v>0.04</v>
      </c>
      <c r="S9" s="140">
        <f t="shared" si="0"/>
        <v>0</v>
      </c>
      <c r="T9" s="140">
        <f t="shared" si="1"/>
        <v>0</v>
      </c>
      <c r="U9" s="140">
        <f t="shared" si="2"/>
        <v>0</v>
      </c>
      <c r="V9" s="140">
        <f t="shared" si="3"/>
        <v>0</v>
      </c>
      <c r="W9" s="140">
        <f t="shared" si="4"/>
        <v>0</v>
      </c>
      <c r="X9" s="140">
        <f t="shared" si="5"/>
        <v>0</v>
      </c>
      <c r="Y9" s="140">
        <f t="shared" si="6"/>
        <v>0</v>
      </c>
      <c r="Z9" s="224">
        <f t="shared" si="7"/>
        <v>0</v>
      </c>
      <c r="AA9" s="427"/>
      <c r="AB9" s="480"/>
    </row>
    <row r="10" spans="1:28" s="16" customFormat="1" ht="72.75" customHeight="1">
      <c r="A10" s="521"/>
      <c r="B10" s="505"/>
      <c r="C10" s="507"/>
      <c r="D10" s="507"/>
      <c r="E10" s="100" t="s">
        <v>54</v>
      </c>
      <c r="F10" s="341" t="s">
        <v>141</v>
      </c>
      <c r="G10" s="100" t="s">
        <v>35</v>
      </c>
      <c r="H10" s="100" t="s">
        <v>35</v>
      </c>
      <c r="I10" s="37">
        <v>0</v>
      </c>
      <c r="J10" s="38">
        <v>0</v>
      </c>
      <c r="K10" s="38">
        <v>1</v>
      </c>
      <c r="L10" s="38">
        <v>1</v>
      </c>
      <c r="M10" s="38">
        <v>2</v>
      </c>
      <c r="N10" s="38">
        <v>2</v>
      </c>
      <c r="O10" s="38">
        <v>2</v>
      </c>
      <c r="P10" s="39">
        <v>2</v>
      </c>
      <c r="Q10" s="142">
        <v>100000000</v>
      </c>
      <c r="R10" s="139">
        <v>0.04</v>
      </c>
      <c r="S10" s="140">
        <f t="shared" si="0"/>
        <v>0</v>
      </c>
      <c r="T10" s="140">
        <f t="shared" si="1"/>
        <v>104000000</v>
      </c>
      <c r="U10" s="140">
        <f t="shared" si="2"/>
        <v>108160000</v>
      </c>
      <c r="V10" s="140">
        <f t="shared" si="3"/>
        <v>112486400</v>
      </c>
      <c r="W10" s="140">
        <f t="shared" si="4"/>
        <v>116985856</v>
      </c>
      <c r="X10" s="140">
        <f t="shared" si="5"/>
        <v>121665290.24000001</v>
      </c>
      <c r="Y10" s="140">
        <f t="shared" si="6"/>
        <v>126531901.84960002</v>
      </c>
      <c r="Z10" s="224">
        <f t="shared" si="7"/>
        <v>689829448.08960009</v>
      </c>
      <c r="AA10" s="427"/>
      <c r="AB10" s="480"/>
    </row>
    <row r="11" spans="1:28" s="16" customFormat="1" ht="75.75" customHeight="1">
      <c r="A11" s="521"/>
      <c r="B11" s="505"/>
      <c r="C11" s="507"/>
      <c r="D11" s="507"/>
      <c r="E11" s="100" t="s">
        <v>54</v>
      </c>
      <c r="F11" s="341" t="s">
        <v>142</v>
      </c>
      <c r="G11" s="100" t="s">
        <v>35</v>
      </c>
      <c r="H11" s="100" t="s">
        <v>159</v>
      </c>
      <c r="I11" s="37">
        <v>0</v>
      </c>
      <c r="J11" s="40">
        <f>1/10</f>
        <v>0.1</v>
      </c>
      <c r="K11" s="40">
        <f>3/13</f>
        <v>0.23076923076923078</v>
      </c>
      <c r="L11" s="40">
        <f>3/14</f>
        <v>0.21428571428571427</v>
      </c>
      <c r="M11" s="40">
        <f>4/15</f>
        <v>0.26666666666666666</v>
      </c>
      <c r="N11" s="40">
        <f>5/20</f>
        <v>0.25</v>
      </c>
      <c r="O11" s="40">
        <f>7/22</f>
        <v>0.31818181818181818</v>
      </c>
      <c r="P11" s="41">
        <f>7/22</f>
        <v>0.31818181818181818</v>
      </c>
      <c r="Q11" s="142">
        <v>100000000</v>
      </c>
      <c r="R11" s="139">
        <v>0.04</v>
      </c>
      <c r="S11" s="140">
        <f t="shared" si="0"/>
        <v>100000000</v>
      </c>
      <c r="T11" s="140">
        <f t="shared" si="1"/>
        <v>104000000</v>
      </c>
      <c r="U11" s="140">
        <f t="shared" si="2"/>
        <v>108160000</v>
      </c>
      <c r="V11" s="140">
        <f t="shared" si="3"/>
        <v>112486400</v>
      </c>
      <c r="W11" s="140">
        <f t="shared" si="4"/>
        <v>116985856</v>
      </c>
      <c r="X11" s="140">
        <f t="shared" si="5"/>
        <v>121665290.24000001</v>
      </c>
      <c r="Y11" s="140">
        <f t="shared" si="6"/>
        <v>126531901.84960002</v>
      </c>
      <c r="Z11" s="224">
        <f t="shared" si="7"/>
        <v>789829448.08960009</v>
      </c>
      <c r="AA11" s="427"/>
      <c r="AB11" s="485"/>
    </row>
    <row r="12" spans="1:28" s="16" customFormat="1" ht="67.5" customHeight="1">
      <c r="A12" s="521"/>
      <c r="B12" s="344" t="s">
        <v>694</v>
      </c>
      <c r="C12" s="97" t="s">
        <v>134</v>
      </c>
      <c r="D12" s="97" t="s">
        <v>539</v>
      </c>
      <c r="E12" s="100" t="s">
        <v>37</v>
      </c>
      <c r="F12" s="341" t="s">
        <v>715</v>
      </c>
      <c r="G12" s="100" t="s">
        <v>35</v>
      </c>
      <c r="H12" s="100" t="s">
        <v>35</v>
      </c>
      <c r="I12" s="37" t="s">
        <v>143</v>
      </c>
      <c r="J12" s="100">
        <v>1</v>
      </c>
      <c r="K12" s="100">
        <v>0</v>
      </c>
      <c r="L12" s="100">
        <v>0</v>
      </c>
      <c r="M12" s="100">
        <v>1</v>
      </c>
      <c r="N12" s="100">
        <v>0</v>
      </c>
      <c r="O12" s="100">
        <v>0</v>
      </c>
      <c r="P12" s="42">
        <v>1</v>
      </c>
      <c r="Q12" s="138">
        <v>0</v>
      </c>
      <c r="R12" s="139">
        <v>0.04</v>
      </c>
      <c r="S12" s="140">
        <f t="shared" si="0"/>
        <v>0</v>
      </c>
      <c r="T12" s="140">
        <f t="shared" si="1"/>
        <v>0</v>
      </c>
      <c r="U12" s="140">
        <f t="shared" si="2"/>
        <v>0</v>
      </c>
      <c r="V12" s="140">
        <f t="shared" si="3"/>
        <v>0</v>
      </c>
      <c r="W12" s="140">
        <f t="shared" si="4"/>
        <v>0</v>
      </c>
      <c r="X12" s="140">
        <f t="shared" si="5"/>
        <v>0</v>
      </c>
      <c r="Y12" s="140">
        <f t="shared" si="6"/>
        <v>0</v>
      </c>
      <c r="Z12" s="224">
        <f t="shared" si="7"/>
        <v>0</v>
      </c>
      <c r="AA12" s="261">
        <f>Z12</f>
        <v>0</v>
      </c>
      <c r="AB12" s="265" t="s">
        <v>673</v>
      </c>
    </row>
    <row r="13" spans="1:28" s="16" customFormat="1" ht="105" customHeight="1" thickBot="1">
      <c r="A13" s="520"/>
      <c r="B13" s="357" t="s">
        <v>716</v>
      </c>
      <c r="C13" s="95" t="s">
        <v>134</v>
      </c>
      <c r="D13" s="95" t="s">
        <v>538</v>
      </c>
      <c r="E13" s="101" t="s">
        <v>54</v>
      </c>
      <c r="F13" s="361" t="s">
        <v>717</v>
      </c>
      <c r="G13" s="101" t="s">
        <v>35</v>
      </c>
      <c r="H13" s="101" t="s">
        <v>35</v>
      </c>
      <c r="I13" s="43">
        <v>5</v>
      </c>
      <c r="J13" s="44">
        <v>9</v>
      </c>
      <c r="K13" s="44">
        <v>3</v>
      </c>
      <c r="L13" s="44">
        <v>12</v>
      </c>
      <c r="M13" s="44">
        <v>7</v>
      </c>
      <c r="N13" s="44">
        <v>15</v>
      </c>
      <c r="O13" s="44">
        <v>11</v>
      </c>
      <c r="P13" s="45">
        <v>18</v>
      </c>
      <c r="Q13" s="177">
        <v>900000000</v>
      </c>
      <c r="R13" s="146">
        <v>0.04</v>
      </c>
      <c r="S13" s="147">
        <f t="shared" si="0"/>
        <v>900000000</v>
      </c>
      <c r="T13" s="147">
        <f t="shared" si="1"/>
        <v>936000000</v>
      </c>
      <c r="U13" s="147">
        <f t="shared" si="2"/>
        <v>973440000</v>
      </c>
      <c r="V13" s="147">
        <f t="shared" si="3"/>
        <v>1012377600</v>
      </c>
      <c r="W13" s="147">
        <f t="shared" si="4"/>
        <v>1052872704</v>
      </c>
      <c r="X13" s="147">
        <f t="shared" si="5"/>
        <v>1094987612.1600001</v>
      </c>
      <c r="Y13" s="147">
        <f t="shared" si="6"/>
        <v>1138787116.6464002</v>
      </c>
      <c r="Z13" s="148">
        <f t="shared" si="7"/>
        <v>7108465032.8064003</v>
      </c>
      <c r="AA13" s="269">
        <f>Z13</f>
        <v>7108465032.8064003</v>
      </c>
      <c r="AB13" s="266" t="s">
        <v>657</v>
      </c>
    </row>
    <row r="14" spans="1:28" s="16" customFormat="1" ht="107.25" customHeight="1" thickBot="1">
      <c r="A14" s="46" t="s">
        <v>144</v>
      </c>
      <c r="B14" s="360" t="s">
        <v>145</v>
      </c>
      <c r="C14" s="21" t="s">
        <v>146</v>
      </c>
      <c r="D14" s="21" t="s">
        <v>541</v>
      </c>
      <c r="E14" s="47" t="s">
        <v>54</v>
      </c>
      <c r="F14" s="362" t="s">
        <v>718</v>
      </c>
      <c r="G14" s="47" t="s">
        <v>35</v>
      </c>
      <c r="H14" s="47" t="s">
        <v>35</v>
      </c>
      <c r="I14" s="48">
        <v>0.3</v>
      </c>
      <c r="J14" s="49">
        <v>1</v>
      </c>
      <c r="K14" s="49">
        <v>1</v>
      </c>
      <c r="L14" s="49">
        <v>1</v>
      </c>
      <c r="M14" s="49">
        <v>1</v>
      </c>
      <c r="N14" s="49">
        <v>1</v>
      </c>
      <c r="O14" s="49">
        <v>1</v>
      </c>
      <c r="P14" s="50">
        <v>1</v>
      </c>
      <c r="Q14" s="195">
        <v>0</v>
      </c>
      <c r="R14" s="183">
        <v>0.04</v>
      </c>
      <c r="S14" s="181">
        <f t="shared" si="0"/>
        <v>0</v>
      </c>
      <c r="T14" s="181">
        <f t="shared" si="1"/>
        <v>0</v>
      </c>
      <c r="U14" s="181">
        <f t="shared" si="2"/>
        <v>0</v>
      </c>
      <c r="V14" s="181">
        <f t="shared" si="3"/>
        <v>0</v>
      </c>
      <c r="W14" s="181">
        <f t="shared" si="4"/>
        <v>0</v>
      </c>
      <c r="X14" s="181">
        <f t="shared" si="5"/>
        <v>0</v>
      </c>
      <c r="Y14" s="181">
        <f t="shared" si="6"/>
        <v>0</v>
      </c>
      <c r="Z14" s="184">
        <f t="shared" si="7"/>
        <v>0</v>
      </c>
      <c r="AA14" s="263">
        <f>Z14</f>
        <v>0</v>
      </c>
      <c r="AB14" s="267" t="s">
        <v>673</v>
      </c>
    </row>
    <row r="15" spans="1:28" ht="18.75" customHeight="1"/>
    <row r="16" spans="1:28" ht="17.25" customHeight="1">
      <c r="A16" s="526"/>
      <c r="B16" s="526"/>
      <c r="C16" s="526"/>
      <c r="D16" s="526"/>
      <c r="E16" s="526"/>
      <c r="F16" s="526"/>
      <c r="G16" s="526"/>
      <c r="H16" s="526"/>
      <c r="I16" s="526"/>
      <c r="J16" s="526"/>
      <c r="K16" s="526"/>
      <c r="L16" s="526"/>
      <c r="M16" s="526"/>
      <c r="N16" s="526"/>
      <c r="O16" s="526"/>
      <c r="P16" s="526"/>
    </row>
    <row r="21" ht="15.75" customHeight="1"/>
  </sheetData>
  <sheetProtection algorithmName="SHA-512" hashValue="31mARcTuqg4gEzLpKmyjcXxTV3HlAupcesVVTc40iPr0DU8xYtkD0K5y4b+LqDDUkObHhnX/kIbW+0cIWHaf+A==" saltValue="M0On3tmzyTNC80h/yKZjgA==" spinCount="100000" sheet="1" objects="1" scenarios="1"/>
  <mergeCells count="31">
    <mergeCell ref="A16:P16"/>
    <mergeCell ref="AA7:AA11"/>
    <mergeCell ref="AA5:AA6"/>
    <mergeCell ref="Q3:Q4"/>
    <mergeCell ref="R3:R4"/>
    <mergeCell ref="S3:Y3"/>
    <mergeCell ref="Z3:Z4"/>
    <mergeCell ref="AA3:AA4"/>
    <mergeCell ref="E3:E4"/>
    <mergeCell ref="F3:F4"/>
    <mergeCell ref="A7:A13"/>
    <mergeCell ref="B7:B11"/>
    <mergeCell ref="C7:C11"/>
    <mergeCell ref="D7:D11"/>
    <mergeCell ref="D5:D6"/>
    <mergeCell ref="A3:A4"/>
    <mergeCell ref="AB5:AB6"/>
    <mergeCell ref="AB7:AB11"/>
    <mergeCell ref="AB3:AB4"/>
    <mergeCell ref="G3:G4"/>
    <mergeCell ref="H3:H4"/>
    <mergeCell ref="I3:I4"/>
    <mergeCell ref="J3:P3"/>
    <mergeCell ref="A5:A6"/>
    <mergeCell ref="B5:B6"/>
    <mergeCell ref="C5:C6"/>
    <mergeCell ref="A2:P2"/>
    <mergeCell ref="A1:P1"/>
    <mergeCell ref="B3:B4"/>
    <mergeCell ref="C3:C4"/>
    <mergeCell ref="D3:D4"/>
  </mergeCells>
  <pageMargins left="0.7" right="0.7" top="0.75" bottom="0.75" header="0.3" footer="0.3"/>
  <pageSetup orientation="portrait" horizontalDpi="1200" verticalDpi="1200" r:id="rId1"/>
  <ignoredErrors>
    <ignoredError sqref="Z14 AA13:AA14 Z5:AA5 Z10 AA7 Z13 T5:Y5 T10:Y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G5:G14</xm:sqref>
        </x14:dataValidation>
        <x14:dataValidation type="list" allowBlank="1" showInputMessage="1" showErrorMessage="1">
          <x14:formula1>
            <xm:f>Hoja2!$A$1:$A$3</xm:f>
          </x14:formula1>
          <xm:sqref>E5:E14</xm:sqref>
        </x14:dataValidation>
        <x14:dataValidation type="list" allowBlank="1" showInputMessage="1" showErrorMessage="1">
          <x14:formula1>
            <xm:f>Hoja2!$E$15:$E$26</xm:f>
          </x14:formula1>
          <xm:sqref>AB5:AB14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125" customWidth="1"/>
    <col min="9" max="9" width="21.6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6" t="s">
        <v>681</v>
      </c>
      <c r="B1" s="466"/>
      <c r="C1" s="466"/>
      <c r="D1" s="466"/>
      <c r="E1" s="466"/>
      <c r="F1" s="466"/>
      <c r="G1" s="466"/>
      <c r="H1" s="466"/>
      <c r="I1" s="466"/>
      <c r="J1" s="466"/>
      <c r="K1" s="466"/>
      <c r="L1" s="466"/>
      <c r="M1" s="466"/>
      <c r="N1" s="466"/>
      <c r="O1" s="466"/>
      <c r="P1" s="466"/>
    </row>
    <row r="2" spans="1:29" ht="16.5" thickBot="1">
      <c r="A2" s="464"/>
      <c r="B2" s="464"/>
      <c r="C2" s="464"/>
      <c r="D2" s="464"/>
      <c r="E2" s="464"/>
      <c r="F2" s="464"/>
      <c r="G2" s="464"/>
      <c r="H2" s="464"/>
      <c r="I2" s="464"/>
      <c r="J2" s="464"/>
      <c r="K2" s="464"/>
      <c r="L2" s="464"/>
      <c r="M2" s="464"/>
      <c r="N2" s="464"/>
      <c r="O2" s="464"/>
      <c r="P2" s="465"/>
      <c r="R2" s="324">
        <f>R5+1</f>
        <v>1.04</v>
      </c>
    </row>
    <row r="3" spans="1:29"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29"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9" s="16" customFormat="1" ht="66" customHeight="1">
      <c r="A5" s="519" t="s">
        <v>149</v>
      </c>
      <c r="B5" s="504" t="s">
        <v>150</v>
      </c>
      <c r="C5" s="96" t="s">
        <v>753</v>
      </c>
      <c r="D5" s="527" t="s">
        <v>542</v>
      </c>
      <c r="E5" s="96" t="s">
        <v>37</v>
      </c>
      <c r="F5" s="346" t="s">
        <v>151</v>
      </c>
      <c r="G5" s="96" t="s">
        <v>35</v>
      </c>
      <c r="H5" s="96" t="s">
        <v>35</v>
      </c>
      <c r="I5" s="96">
        <v>0</v>
      </c>
      <c r="J5" s="96">
        <v>2</v>
      </c>
      <c r="K5" s="96">
        <v>3</v>
      </c>
      <c r="L5" s="96">
        <v>3</v>
      </c>
      <c r="M5" s="96">
        <v>4</v>
      </c>
      <c r="N5" s="96">
        <v>4</v>
      </c>
      <c r="O5" s="96">
        <v>5</v>
      </c>
      <c r="P5" s="166">
        <v>5</v>
      </c>
      <c r="Q5" s="135">
        <v>25000000</v>
      </c>
      <c r="R5" s="136">
        <v>0.04</v>
      </c>
      <c r="S5" s="140">
        <f t="shared" ref="S5:S23" si="0">IF(J5&lt;&gt;0,Q5,0)</f>
        <v>25000000</v>
      </c>
      <c r="T5" s="140">
        <f t="shared" ref="T5:T23" si="1">IF(K5&lt;&gt;0,(IF(S5&lt;&gt;0,(S5*$R$2),($Q5*$R$2))),0)</f>
        <v>26000000</v>
      </c>
      <c r="U5" s="140">
        <f t="shared" ref="U5:U23" si="2">IF(L5&lt;&gt;0,(IF(T5&lt;&gt;0,(T5*$R$2),(($Q5*$R$2)*$R$2))),0)</f>
        <v>27040000</v>
      </c>
      <c r="V5" s="140">
        <f t="shared" ref="V5:V23" si="3">IF(M5&lt;&gt;0,(IF(U5&lt;&gt;0,(U5*$R$2),(($Q5*$R$2)*$R$2*$R$2))),0)</f>
        <v>28121600</v>
      </c>
      <c r="W5" s="140">
        <f t="shared" ref="W5:W23" si="4">IF(N5&lt;&gt;0,(IF(V5&lt;&gt;0,(V5*$R$2),(($Q5*$R$2)*$R$2*$R$2*$R$2))),0)</f>
        <v>29246464</v>
      </c>
      <c r="X5" s="140">
        <f t="shared" ref="X5:X23" si="5">IF(O5&lt;&gt;0,(IF(W5&lt;&gt;0,(W5*$R$2),(($Q5*$R$2)*$R$2*$R$2*$R$2*$R$2))),0)</f>
        <v>30416322.560000002</v>
      </c>
      <c r="Y5" s="140">
        <f t="shared" ref="Y5:Y23" si="6">IF(P5&lt;&gt;0,(IF(X5&lt;&gt;0,(X5*$R$2),(($Q5*$R$2)*$R$2*$R$2*$R$2*$R$2*$R$2))),0)</f>
        <v>31632975.462400004</v>
      </c>
      <c r="Z5" s="137">
        <f>SUM(S5:Y5)</f>
        <v>197457362.02240002</v>
      </c>
      <c r="AA5" s="494">
        <f>SUM(Z5:Z8)</f>
        <v>908303865.30304003</v>
      </c>
      <c r="AB5" s="486" t="s">
        <v>663</v>
      </c>
    </row>
    <row r="6" spans="1:29" s="16" customFormat="1" ht="66" customHeight="1">
      <c r="A6" s="521"/>
      <c r="B6" s="505"/>
      <c r="C6" s="97" t="s">
        <v>753</v>
      </c>
      <c r="D6" s="528"/>
      <c r="E6" s="97" t="s">
        <v>37</v>
      </c>
      <c r="F6" s="344" t="s">
        <v>494</v>
      </c>
      <c r="G6" s="97" t="s">
        <v>35</v>
      </c>
      <c r="H6" s="97" t="s">
        <v>35</v>
      </c>
      <c r="I6" s="97">
        <v>0</v>
      </c>
      <c r="J6" s="97">
        <v>1</v>
      </c>
      <c r="K6" s="97">
        <v>2</v>
      </c>
      <c r="L6" s="97">
        <v>2</v>
      </c>
      <c r="M6" s="97">
        <v>3</v>
      </c>
      <c r="N6" s="97">
        <v>3</v>
      </c>
      <c r="O6" s="97">
        <v>4</v>
      </c>
      <c r="P6" s="169">
        <v>4</v>
      </c>
      <c r="Q6" s="138">
        <v>50000000</v>
      </c>
      <c r="R6" s="139">
        <v>0.04</v>
      </c>
      <c r="S6" s="140">
        <f t="shared" si="0"/>
        <v>50000000</v>
      </c>
      <c r="T6" s="140">
        <f t="shared" si="1"/>
        <v>52000000</v>
      </c>
      <c r="U6" s="140">
        <f t="shared" si="2"/>
        <v>54080000</v>
      </c>
      <c r="V6" s="140">
        <f t="shared" si="3"/>
        <v>56243200</v>
      </c>
      <c r="W6" s="140">
        <f t="shared" si="4"/>
        <v>58492928</v>
      </c>
      <c r="X6" s="140">
        <f t="shared" si="5"/>
        <v>60832645.120000005</v>
      </c>
      <c r="Y6" s="140">
        <f t="shared" si="6"/>
        <v>63265950.924800009</v>
      </c>
      <c r="Z6" s="224">
        <f t="shared" ref="Z6:Z14" si="7">SUM(S6:Y6)</f>
        <v>394914724.04480004</v>
      </c>
      <c r="AA6" s="427"/>
      <c r="AB6" s="480"/>
    </row>
    <row r="7" spans="1:29" s="16" customFormat="1" ht="66" customHeight="1">
      <c r="A7" s="521"/>
      <c r="B7" s="505"/>
      <c r="C7" s="97" t="s">
        <v>755</v>
      </c>
      <c r="D7" s="528"/>
      <c r="E7" s="97" t="s">
        <v>37</v>
      </c>
      <c r="F7" s="344" t="s">
        <v>152</v>
      </c>
      <c r="G7" s="97" t="s">
        <v>35</v>
      </c>
      <c r="H7" s="97" t="s">
        <v>35</v>
      </c>
      <c r="I7" s="97">
        <v>0</v>
      </c>
      <c r="J7" s="97">
        <v>1</v>
      </c>
      <c r="K7" s="97">
        <v>2</v>
      </c>
      <c r="L7" s="97">
        <v>3</v>
      </c>
      <c r="M7" s="97">
        <v>4</v>
      </c>
      <c r="N7" s="97">
        <v>5</v>
      </c>
      <c r="O7" s="97">
        <v>6</v>
      </c>
      <c r="P7" s="169">
        <v>7</v>
      </c>
      <c r="Q7" s="138">
        <v>20000000</v>
      </c>
      <c r="R7" s="139">
        <v>0.04</v>
      </c>
      <c r="S7" s="140">
        <f t="shared" si="0"/>
        <v>20000000</v>
      </c>
      <c r="T7" s="140">
        <f t="shared" si="1"/>
        <v>20800000</v>
      </c>
      <c r="U7" s="140">
        <f t="shared" si="2"/>
        <v>21632000</v>
      </c>
      <c r="V7" s="140">
        <f t="shared" si="3"/>
        <v>22497280</v>
      </c>
      <c r="W7" s="140">
        <f t="shared" si="4"/>
        <v>23397171.199999999</v>
      </c>
      <c r="X7" s="140">
        <f t="shared" si="5"/>
        <v>24333058.048</v>
      </c>
      <c r="Y7" s="140">
        <f t="shared" si="6"/>
        <v>25306380.36992</v>
      </c>
      <c r="Z7" s="224">
        <f t="shared" si="7"/>
        <v>157965889.61791998</v>
      </c>
      <c r="AA7" s="427"/>
      <c r="AB7" s="480"/>
    </row>
    <row r="8" spans="1:29" s="16" customFormat="1" ht="66" customHeight="1">
      <c r="A8" s="521"/>
      <c r="B8" s="505"/>
      <c r="C8" s="97" t="s">
        <v>753</v>
      </c>
      <c r="D8" s="523"/>
      <c r="E8" s="97" t="s">
        <v>37</v>
      </c>
      <c r="F8" s="344" t="s">
        <v>493</v>
      </c>
      <c r="G8" s="97" t="s">
        <v>35</v>
      </c>
      <c r="H8" s="97" t="s">
        <v>35</v>
      </c>
      <c r="I8" s="97">
        <v>0</v>
      </c>
      <c r="J8" s="97">
        <v>1</v>
      </c>
      <c r="K8" s="97">
        <v>2</v>
      </c>
      <c r="L8" s="97">
        <v>3</v>
      </c>
      <c r="M8" s="97">
        <v>4</v>
      </c>
      <c r="N8" s="97">
        <v>5</v>
      </c>
      <c r="O8" s="97">
        <v>6</v>
      </c>
      <c r="P8" s="169">
        <v>7</v>
      </c>
      <c r="Q8" s="142">
        <v>20000000</v>
      </c>
      <c r="R8" s="139">
        <v>0.04</v>
      </c>
      <c r="S8" s="140">
        <f t="shared" si="0"/>
        <v>20000000</v>
      </c>
      <c r="T8" s="140">
        <f t="shared" si="1"/>
        <v>20800000</v>
      </c>
      <c r="U8" s="140">
        <f t="shared" si="2"/>
        <v>21632000</v>
      </c>
      <c r="V8" s="140">
        <f t="shared" si="3"/>
        <v>22497280</v>
      </c>
      <c r="W8" s="140">
        <f t="shared" si="4"/>
        <v>23397171.199999999</v>
      </c>
      <c r="X8" s="140">
        <f t="shared" si="5"/>
        <v>24333058.048</v>
      </c>
      <c r="Y8" s="140">
        <f t="shared" si="6"/>
        <v>25306380.36992</v>
      </c>
      <c r="Z8" s="224">
        <f t="shared" si="7"/>
        <v>157965889.61791998</v>
      </c>
      <c r="AA8" s="427"/>
      <c r="AB8" s="485"/>
    </row>
    <row r="9" spans="1:29" s="16" customFormat="1" ht="78" customHeight="1" thickBot="1">
      <c r="A9" s="520"/>
      <c r="B9" s="357" t="s">
        <v>153</v>
      </c>
      <c r="C9" s="95" t="s">
        <v>753</v>
      </c>
      <c r="D9" s="95" t="s">
        <v>543</v>
      </c>
      <c r="E9" s="95" t="s">
        <v>54</v>
      </c>
      <c r="F9" s="357" t="s">
        <v>828</v>
      </c>
      <c r="G9" s="95" t="s">
        <v>35</v>
      </c>
      <c r="H9" s="95" t="s">
        <v>35</v>
      </c>
      <c r="I9" s="95">
        <v>0</v>
      </c>
      <c r="J9" s="95">
        <v>1</v>
      </c>
      <c r="K9" s="95">
        <v>1</v>
      </c>
      <c r="L9" s="95">
        <v>2</v>
      </c>
      <c r="M9" s="95">
        <v>2</v>
      </c>
      <c r="N9" s="95">
        <v>3</v>
      </c>
      <c r="O9" s="95">
        <v>3</v>
      </c>
      <c r="P9" s="161">
        <v>4</v>
      </c>
      <c r="Q9" s="177">
        <v>60000000</v>
      </c>
      <c r="R9" s="146">
        <v>0.04</v>
      </c>
      <c r="S9" s="147">
        <f t="shared" si="0"/>
        <v>60000000</v>
      </c>
      <c r="T9" s="147">
        <f t="shared" si="1"/>
        <v>62400000</v>
      </c>
      <c r="U9" s="147">
        <f t="shared" si="2"/>
        <v>64896000</v>
      </c>
      <c r="V9" s="147">
        <f t="shared" si="3"/>
        <v>67491840</v>
      </c>
      <c r="W9" s="147">
        <f t="shared" si="4"/>
        <v>70191513.600000009</v>
      </c>
      <c r="X9" s="147">
        <f t="shared" si="5"/>
        <v>72999174.144000009</v>
      </c>
      <c r="Y9" s="147">
        <f t="shared" si="6"/>
        <v>75919141.109760016</v>
      </c>
      <c r="Z9" s="148">
        <f t="shared" si="7"/>
        <v>473897668.85376</v>
      </c>
      <c r="AA9" s="269">
        <f t="shared" ref="AA9:AA15" si="8">Z9</f>
        <v>473897668.85376</v>
      </c>
      <c r="AB9" s="266" t="s">
        <v>663</v>
      </c>
    </row>
    <row r="10" spans="1:29" s="121" customFormat="1" ht="82.5" customHeight="1">
      <c r="A10" s="519" t="s">
        <v>154</v>
      </c>
      <c r="B10" s="363" t="s">
        <v>155</v>
      </c>
      <c r="C10" s="99" t="s">
        <v>780</v>
      </c>
      <c r="D10" s="99" t="s">
        <v>544</v>
      </c>
      <c r="E10" s="99" t="s">
        <v>37</v>
      </c>
      <c r="F10" s="363" t="s">
        <v>668</v>
      </c>
      <c r="G10" s="99" t="s">
        <v>35</v>
      </c>
      <c r="H10" s="99" t="s">
        <v>35</v>
      </c>
      <c r="I10" s="99" t="s">
        <v>156</v>
      </c>
      <c r="J10" s="99">
        <v>1</v>
      </c>
      <c r="K10" s="99">
        <v>1</v>
      </c>
      <c r="L10" s="99">
        <v>1</v>
      </c>
      <c r="M10" s="99">
        <v>1</v>
      </c>
      <c r="N10" s="99">
        <v>1</v>
      </c>
      <c r="O10" s="99">
        <v>1</v>
      </c>
      <c r="P10" s="8">
        <v>1</v>
      </c>
      <c r="Q10" s="150">
        <v>0</v>
      </c>
      <c r="R10" s="136">
        <v>0.04</v>
      </c>
      <c r="S10" s="175">
        <f t="shared" si="0"/>
        <v>0</v>
      </c>
      <c r="T10" s="175">
        <f t="shared" si="1"/>
        <v>0</v>
      </c>
      <c r="U10" s="175">
        <f t="shared" si="2"/>
        <v>0</v>
      </c>
      <c r="V10" s="175">
        <f t="shared" si="3"/>
        <v>0</v>
      </c>
      <c r="W10" s="175">
        <f t="shared" si="4"/>
        <v>0</v>
      </c>
      <c r="X10" s="175">
        <f t="shared" si="5"/>
        <v>0</v>
      </c>
      <c r="Y10" s="175">
        <f t="shared" si="6"/>
        <v>0</v>
      </c>
      <c r="Z10" s="137">
        <f t="shared" si="7"/>
        <v>0</v>
      </c>
      <c r="AA10" s="264">
        <f t="shared" si="8"/>
        <v>0</v>
      </c>
      <c r="AB10" s="268" t="s">
        <v>673</v>
      </c>
    </row>
    <row r="11" spans="1:29" s="16" customFormat="1" ht="71.25" customHeight="1" thickBot="1">
      <c r="A11" s="520"/>
      <c r="B11" s="357" t="s">
        <v>157</v>
      </c>
      <c r="C11" s="95" t="s">
        <v>158</v>
      </c>
      <c r="D11" s="95" t="s">
        <v>545</v>
      </c>
      <c r="E11" s="95" t="s">
        <v>37</v>
      </c>
      <c r="F11" s="345" t="s">
        <v>492</v>
      </c>
      <c r="G11" s="95" t="s">
        <v>35</v>
      </c>
      <c r="H11" s="95" t="s">
        <v>159</v>
      </c>
      <c r="I11" s="95" t="s">
        <v>422</v>
      </c>
      <c r="J11" s="11">
        <v>0</v>
      </c>
      <c r="K11" s="11">
        <v>0</v>
      </c>
      <c r="L11" s="33">
        <v>0.25</v>
      </c>
      <c r="M11" s="33">
        <v>0.5</v>
      </c>
      <c r="N11" s="33">
        <v>0.75</v>
      </c>
      <c r="O11" s="33">
        <v>1</v>
      </c>
      <c r="P11" s="119">
        <v>0</v>
      </c>
      <c r="Q11" s="143">
        <v>240000000</v>
      </c>
      <c r="R11" s="144">
        <v>0.04</v>
      </c>
      <c r="S11" s="147">
        <f t="shared" si="0"/>
        <v>0</v>
      </c>
      <c r="T11" s="147">
        <f t="shared" si="1"/>
        <v>0</v>
      </c>
      <c r="U11" s="147">
        <f t="shared" si="2"/>
        <v>259584000</v>
      </c>
      <c r="V11" s="147">
        <f t="shared" si="3"/>
        <v>269967360</v>
      </c>
      <c r="W11" s="147">
        <f t="shared" si="4"/>
        <v>280766054.40000004</v>
      </c>
      <c r="X11" s="147">
        <f t="shared" si="5"/>
        <v>291996696.57600003</v>
      </c>
      <c r="Y11" s="147">
        <f t="shared" si="6"/>
        <v>0</v>
      </c>
      <c r="Z11" s="148">
        <f t="shared" si="7"/>
        <v>1102314110.9760001</v>
      </c>
      <c r="AA11" s="269">
        <f t="shared" si="8"/>
        <v>1102314110.9760001</v>
      </c>
      <c r="AB11" s="266" t="s">
        <v>674</v>
      </c>
      <c r="AC11" s="321"/>
    </row>
    <row r="12" spans="1:29" s="16" customFormat="1" ht="55.5" customHeight="1">
      <c r="A12" s="519" t="s">
        <v>160</v>
      </c>
      <c r="B12" s="356" t="s">
        <v>161</v>
      </c>
      <c r="C12" s="96" t="s">
        <v>753</v>
      </c>
      <c r="D12" s="96" t="s">
        <v>546</v>
      </c>
      <c r="E12" s="96" t="s">
        <v>37</v>
      </c>
      <c r="F12" s="356" t="s">
        <v>162</v>
      </c>
      <c r="G12" s="96" t="s">
        <v>35</v>
      </c>
      <c r="H12" s="96" t="s">
        <v>159</v>
      </c>
      <c r="I12" s="96">
        <v>0</v>
      </c>
      <c r="J12" s="4">
        <v>0</v>
      </c>
      <c r="K12" s="6">
        <v>0.2</v>
      </c>
      <c r="L12" s="6">
        <v>0.4</v>
      </c>
      <c r="M12" s="6">
        <v>0.6</v>
      </c>
      <c r="N12" s="6">
        <v>0.8</v>
      </c>
      <c r="O12" s="6">
        <v>1</v>
      </c>
      <c r="P12" s="185">
        <v>0</v>
      </c>
      <c r="Q12" s="135">
        <v>80000000</v>
      </c>
      <c r="R12" s="136">
        <v>0.04</v>
      </c>
      <c r="S12" s="175">
        <f t="shared" si="0"/>
        <v>0</v>
      </c>
      <c r="T12" s="175">
        <f t="shared" si="1"/>
        <v>83200000</v>
      </c>
      <c r="U12" s="175">
        <f t="shared" si="2"/>
        <v>86528000</v>
      </c>
      <c r="V12" s="175">
        <f t="shared" si="3"/>
        <v>89989120</v>
      </c>
      <c r="W12" s="175">
        <f t="shared" si="4"/>
        <v>93588684.799999997</v>
      </c>
      <c r="X12" s="175">
        <f t="shared" si="5"/>
        <v>97332232.192000002</v>
      </c>
      <c r="Y12" s="175">
        <f t="shared" si="6"/>
        <v>0</v>
      </c>
      <c r="Z12" s="137">
        <f t="shared" si="7"/>
        <v>450638036.99199998</v>
      </c>
      <c r="AA12" s="264">
        <f t="shared" si="8"/>
        <v>450638036.99199998</v>
      </c>
      <c r="AB12" s="268" t="s">
        <v>663</v>
      </c>
    </row>
    <row r="13" spans="1:29" s="16" customFormat="1" ht="87.75" customHeight="1">
      <c r="A13" s="521"/>
      <c r="B13" s="344" t="s">
        <v>163</v>
      </c>
      <c r="C13" s="97" t="s">
        <v>753</v>
      </c>
      <c r="D13" s="97" t="s">
        <v>547</v>
      </c>
      <c r="E13" s="97" t="s">
        <v>54</v>
      </c>
      <c r="F13" s="344" t="s">
        <v>491</v>
      </c>
      <c r="G13" s="97" t="s">
        <v>35</v>
      </c>
      <c r="H13" s="97" t="s">
        <v>35</v>
      </c>
      <c r="I13" s="94" t="s">
        <v>423</v>
      </c>
      <c r="J13" s="7">
        <v>0</v>
      </c>
      <c r="K13" s="7">
        <v>0</v>
      </c>
      <c r="L13" s="97">
        <v>1</v>
      </c>
      <c r="M13" s="7">
        <v>0</v>
      </c>
      <c r="N13" s="7">
        <v>0</v>
      </c>
      <c r="O13" s="97">
        <v>1</v>
      </c>
      <c r="P13" s="186">
        <v>0</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261">
        <f t="shared" si="8"/>
        <v>0</v>
      </c>
      <c r="AB13" s="265" t="s">
        <v>673</v>
      </c>
    </row>
    <row r="14" spans="1:29" s="16" customFormat="1" ht="72.75" customHeight="1">
      <c r="A14" s="521"/>
      <c r="B14" s="342" t="s">
        <v>164</v>
      </c>
      <c r="C14" s="94" t="s">
        <v>753</v>
      </c>
      <c r="D14" s="94" t="s">
        <v>547</v>
      </c>
      <c r="E14" s="94" t="s">
        <v>37</v>
      </c>
      <c r="F14" s="342" t="s">
        <v>424</v>
      </c>
      <c r="G14" s="94" t="s">
        <v>34</v>
      </c>
      <c r="H14" s="97" t="s">
        <v>35</v>
      </c>
      <c r="I14" s="94" t="s">
        <v>425</v>
      </c>
      <c r="J14" s="94">
        <v>0</v>
      </c>
      <c r="K14" s="94">
        <v>2</v>
      </c>
      <c r="L14" s="94">
        <v>0</v>
      </c>
      <c r="M14" s="94">
        <v>4</v>
      </c>
      <c r="N14" s="94">
        <v>0</v>
      </c>
      <c r="O14" s="94">
        <v>6</v>
      </c>
      <c r="P14" s="170">
        <v>0</v>
      </c>
      <c r="Q14" s="138">
        <v>0</v>
      </c>
      <c r="R14" s="139">
        <v>0.04</v>
      </c>
      <c r="S14" s="140">
        <f t="shared" si="0"/>
        <v>0</v>
      </c>
      <c r="T14" s="140">
        <f t="shared" si="1"/>
        <v>0</v>
      </c>
      <c r="U14" s="140">
        <f t="shared" si="2"/>
        <v>0</v>
      </c>
      <c r="V14" s="140">
        <f t="shared" si="3"/>
        <v>0</v>
      </c>
      <c r="W14" s="140">
        <f t="shared" si="4"/>
        <v>0</v>
      </c>
      <c r="X14" s="140">
        <f t="shared" si="5"/>
        <v>0</v>
      </c>
      <c r="Y14" s="140">
        <f t="shared" si="6"/>
        <v>0</v>
      </c>
      <c r="Z14" s="224">
        <f t="shared" si="7"/>
        <v>0</v>
      </c>
      <c r="AA14" s="261">
        <f t="shared" si="8"/>
        <v>0</v>
      </c>
      <c r="AB14" s="265" t="s">
        <v>673</v>
      </c>
    </row>
    <row r="15" spans="1:29" s="16" customFormat="1" ht="75.75" customHeight="1" thickBot="1">
      <c r="A15" s="520"/>
      <c r="B15" s="357" t="s">
        <v>364</v>
      </c>
      <c r="C15" s="95" t="s">
        <v>756</v>
      </c>
      <c r="D15" s="95" t="s">
        <v>548</v>
      </c>
      <c r="E15" s="95" t="s">
        <v>54</v>
      </c>
      <c r="F15" s="357" t="s">
        <v>719</v>
      </c>
      <c r="G15" s="95" t="s">
        <v>35</v>
      </c>
      <c r="H15" s="95" t="s">
        <v>159</v>
      </c>
      <c r="I15" s="95">
        <v>0</v>
      </c>
      <c r="J15" s="120">
        <v>5.0000000000000001E-3</v>
      </c>
      <c r="K15" s="120">
        <v>0.01</v>
      </c>
      <c r="L15" s="120">
        <v>1.4999999999999999E-2</v>
      </c>
      <c r="M15" s="120">
        <v>0.02</v>
      </c>
      <c r="N15" s="120">
        <v>2.5000000000000001E-2</v>
      </c>
      <c r="O15" s="120">
        <v>0.03</v>
      </c>
      <c r="P15" s="187">
        <v>3.5000000000000003E-2</v>
      </c>
      <c r="Q15" s="162">
        <v>0</v>
      </c>
      <c r="R15" s="144">
        <v>0.04</v>
      </c>
      <c r="S15" s="147">
        <f t="shared" si="0"/>
        <v>0</v>
      </c>
      <c r="T15" s="147">
        <f t="shared" si="1"/>
        <v>0</v>
      </c>
      <c r="U15" s="147">
        <f t="shared" si="2"/>
        <v>0</v>
      </c>
      <c r="V15" s="147">
        <f t="shared" si="3"/>
        <v>0</v>
      </c>
      <c r="W15" s="147">
        <f t="shared" si="4"/>
        <v>0</v>
      </c>
      <c r="X15" s="147">
        <f t="shared" si="5"/>
        <v>0</v>
      </c>
      <c r="Y15" s="147">
        <f t="shared" si="6"/>
        <v>0</v>
      </c>
      <c r="Z15" s="148">
        <f t="shared" ref="Z15:Z23" si="9">SUM(S15:Y15)</f>
        <v>0</v>
      </c>
      <c r="AA15" s="269">
        <f t="shared" si="8"/>
        <v>0</v>
      </c>
      <c r="AB15" s="266" t="s">
        <v>673</v>
      </c>
    </row>
    <row r="16" spans="1:29" s="16" customFormat="1" ht="57" customHeight="1">
      <c r="A16" s="519" t="s">
        <v>165</v>
      </c>
      <c r="B16" s="529" t="s">
        <v>166</v>
      </c>
      <c r="C16" s="531" t="s">
        <v>167</v>
      </c>
      <c r="D16" s="531" t="s">
        <v>549</v>
      </c>
      <c r="E16" s="99" t="s">
        <v>37</v>
      </c>
      <c r="F16" s="363" t="s">
        <v>426</v>
      </c>
      <c r="G16" s="99" t="s">
        <v>35</v>
      </c>
      <c r="H16" s="99" t="s">
        <v>35</v>
      </c>
      <c r="I16" s="99" t="s">
        <v>168</v>
      </c>
      <c r="J16" s="99">
        <v>0</v>
      </c>
      <c r="K16" s="99">
        <v>1</v>
      </c>
      <c r="L16" s="99">
        <v>0</v>
      </c>
      <c r="M16" s="252">
        <v>0</v>
      </c>
      <c r="N16" s="252">
        <v>0</v>
      </c>
      <c r="O16" s="252">
        <v>0</v>
      </c>
      <c r="P16" s="188">
        <v>0</v>
      </c>
      <c r="Q16" s="135">
        <v>0</v>
      </c>
      <c r="R16" s="136">
        <v>0.04</v>
      </c>
      <c r="S16" s="175">
        <f t="shared" si="0"/>
        <v>0</v>
      </c>
      <c r="T16" s="175">
        <f t="shared" si="1"/>
        <v>0</v>
      </c>
      <c r="U16" s="175">
        <f t="shared" si="2"/>
        <v>0</v>
      </c>
      <c r="V16" s="175">
        <f t="shared" si="3"/>
        <v>0</v>
      </c>
      <c r="W16" s="175">
        <f t="shared" si="4"/>
        <v>0</v>
      </c>
      <c r="X16" s="175">
        <f t="shared" si="5"/>
        <v>0</v>
      </c>
      <c r="Y16" s="175">
        <f t="shared" si="6"/>
        <v>0</v>
      </c>
      <c r="Z16" s="137">
        <f t="shared" si="9"/>
        <v>0</v>
      </c>
      <c r="AA16" s="494">
        <f>SUM(Z16:Z17)</f>
        <v>205040306.83136001</v>
      </c>
      <c r="AB16" s="484" t="s">
        <v>661</v>
      </c>
    </row>
    <row r="17" spans="1:28" s="16" customFormat="1" ht="90" customHeight="1">
      <c r="A17" s="521"/>
      <c r="B17" s="530"/>
      <c r="C17" s="532"/>
      <c r="D17" s="532"/>
      <c r="E17" s="100" t="s">
        <v>37</v>
      </c>
      <c r="F17" s="341" t="s">
        <v>169</v>
      </c>
      <c r="G17" s="100" t="s">
        <v>35</v>
      </c>
      <c r="H17" s="100" t="s">
        <v>35</v>
      </c>
      <c r="I17" s="100" t="s">
        <v>427</v>
      </c>
      <c r="J17" s="100">
        <v>0</v>
      </c>
      <c r="K17" s="100">
        <v>0</v>
      </c>
      <c r="L17" s="100">
        <v>1</v>
      </c>
      <c r="M17" s="100">
        <v>1</v>
      </c>
      <c r="N17" s="100">
        <v>1</v>
      </c>
      <c r="O17" s="100">
        <v>1</v>
      </c>
      <c r="P17" s="189">
        <v>1</v>
      </c>
      <c r="Q17" s="138">
        <v>35000000</v>
      </c>
      <c r="R17" s="139">
        <v>0.04</v>
      </c>
      <c r="S17" s="140">
        <f t="shared" si="0"/>
        <v>0</v>
      </c>
      <c r="T17" s="140">
        <f t="shared" si="1"/>
        <v>0</v>
      </c>
      <c r="U17" s="140">
        <f t="shared" si="2"/>
        <v>37856000</v>
      </c>
      <c r="V17" s="140">
        <f t="shared" si="3"/>
        <v>39370240</v>
      </c>
      <c r="W17" s="140">
        <f t="shared" si="4"/>
        <v>40945049.600000001</v>
      </c>
      <c r="X17" s="140">
        <f t="shared" si="5"/>
        <v>42582851.584000006</v>
      </c>
      <c r="Y17" s="140">
        <f t="shared" si="6"/>
        <v>44286165.647360004</v>
      </c>
      <c r="Z17" s="224">
        <f t="shared" si="9"/>
        <v>205040306.83136001</v>
      </c>
      <c r="AA17" s="427"/>
      <c r="AB17" s="485"/>
    </row>
    <row r="18" spans="1:28" s="16" customFormat="1" ht="72" customHeight="1">
      <c r="A18" s="521"/>
      <c r="B18" s="341" t="s">
        <v>170</v>
      </c>
      <c r="C18" s="100" t="s">
        <v>428</v>
      </c>
      <c r="D18" s="100" t="s">
        <v>546</v>
      </c>
      <c r="E18" s="100" t="s">
        <v>37</v>
      </c>
      <c r="F18" s="341" t="s">
        <v>490</v>
      </c>
      <c r="G18" s="100" t="s">
        <v>35</v>
      </c>
      <c r="H18" s="100" t="s">
        <v>35</v>
      </c>
      <c r="I18" s="100">
        <v>0</v>
      </c>
      <c r="J18" s="100">
        <v>1</v>
      </c>
      <c r="K18" s="100">
        <v>1</v>
      </c>
      <c r="L18" s="100">
        <v>1</v>
      </c>
      <c r="M18" s="100">
        <v>1</v>
      </c>
      <c r="N18" s="100">
        <v>1</v>
      </c>
      <c r="O18" s="100">
        <v>1</v>
      </c>
      <c r="P18" s="189">
        <v>1</v>
      </c>
      <c r="Q18" s="138">
        <v>370000000</v>
      </c>
      <c r="R18" s="139">
        <v>0.04</v>
      </c>
      <c r="S18" s="140">
        <f t="shared" si="0"/>
        <v>370000000</v>
      </c>
      <c r="T18" s="140">
        <f t="shared" si="1"/>
        <v>384800000</v>
      </c>
      <c r="U18" s="140">
        <f t="shared" si="2"/>
        <v>400192000</v>
      </c>
      <c r="V18" s="140">
        <f t="shared" si="3"/>
        <v>416199680</v>
      </c>
      <c r="W18" s="140">
        <f t="shared" si="4"/>
        <v>432847667.19999999</v>
      </c>
      <c r="X18" s="140">
        <f t="shared" si="5"/>
        <v>450161573.88800001</v>
      </c>
      <c r="Y18" s="140">
        <f t="shared" si="6"/>
        <v>468168036.84352005</v>
      </c>
      <c r="Z18" s="224">
        <f t="shared" si="9"/>
        <v>2922368957.9315205</v>
      </c>
      <c r="AA18" s="261">
        <f t="shared" ref="AA18:AA23" si="10">Z18</f>
        <v>2922368957.9315205</v>
      </c>
      <c r="AB18" s="265" t="s">
        <v>661</v>
      </c>
    </row>
    <row r="19" spans="1:28" s="16" customFormat="1" ht="96" customHeight="1">
      <c r="A19" s="521"/>
      <c r="B19" s="341" t="s">
        <v>171</v>
      </c>
      <c r="C19" s="100" t="s">
        <v>843</v>
      </c>
      <c r="D19" s="129" t="s">
        <v>541</v>
      </c>
      <c r="E19" s="100" t="s">
        <v>37</v>
      </c>
      <c r="F19" s="341" t="s">
        <v>820</v>
      </c>
      <c r="G19" s="100" t="s">
        <v>35</v>
      </c>
      <c r="H19" s="125" t="s">
        <v>35</v>
      </c>
      <c r="I19" s="100" t="s">
        <v>172</v>
      </c>
      <c r="J19" s="30">
        <v>0.04</v>
      </c>
      <c r="K19" s="30">
        <v>0.05</v>
      </c>
      <c r="L19" s="30">
        <v>0.05</v>
      </c>
      <c r="M19" s="30">
        <v>0.06</v>
      </c>
      <c r="N19" s="30">
        <v>0.06</v>
      </c>
      <c r="O19" s="30">
        <v>7.0000000000000007E-2</v>
      </c>
      <c r="P19" s="190">
        <v>7.0000000000000007E-2</v>
      </c>
      <c r="Q19" s="138">
        <v>400000000</v>
      </c>
      <c r="R19" s="139">
        <v>0.04</v>
      </c>
      <c r="S19" s="140">
        <f t="shared" si="0"/>
        <v>400000000</v>
      </c>
      <c r="T19" s="140">
        <f t="shared" si="1"/>
        <v>416000000</v>
      </c>
      <c r="U19" s="140">
        <f t="shared" si="2"/>
        <v>432640000</v>
      </c>
      <c r="V19" s="140">
        <f t="shared" si="3"/>
        <v>449945600</v>
      </c>
      <c r="W19" s="140">
        <f t="shared" si="4"/>
        <v>467943424</v>
      </c>
      <c r="X19" s="140">
        <f t="shared" si="5"/>
        <v>486661160.96000004</v>
      </c>
      <c r="Y19" s="140">
        <f t="shared" si="6"/>
        <v>506127607.39840007</v>
      </c>
      <c r="Z19" s="224">
        <f t="shared" si="9"/>
        <v>3159317792.3584003</v>
      </c>
      <c r="AA19" s="261">
        <f t="shared" si="10"/>
        <v>3159317792.3584003</v>
      </c>
      <c r="AB19" s="265" t="s">
        <v>661</v>
      </c>
    </row>
    <row r="20" spans="1:28" s="16" customFormat="1" ht="65.25" customHeight="1" thickBot="1">
      <c r="A20" s="520"/>
      <c r="B20" s="357" t="s">
        <v>173</v>
      </c>
      <c r="C20" s="95" t="s">
        <v>757</v>
      </c>
      <c r="D20" s="95" t="s">
        <v>543</v>
      </c>
      <c r="E20" s="95" t="s">
        <v>54</v>
      </c>
      <c r="F20" s="357" t="s">
        <v>174</v>
      </c>
      <c r="G20" s="95" t="s">
        <v>35</v>
      </c>
      <c r="H20" s="95" t="s">
        <v>35</v>
      </c>
      <c r="I20" s="95" t="s">
        <v>175</v>
      </c>
      <c r="J20" s="95">
        <v>0</v>
      </c>
      <c r="K20" s="33">
        <v>0.15</v>
      </c>
      <c r="L20" s="95">
        <v>0</v>
      </c>
      <c r="M20" s="33">
        <v>0.3</v>
      </c>
      <c r="N20" s="95">
        <v>0</v>
      </c>
      <c r="O20" s="33">
        <v>0.45</v>
      </c>
      <c r="P20" s="161">
        <v>0</v>
      </c>
      <c r="Q20" s="162">
        <v>0</v>
      </c>
      <c r="R20" s="144">
        <v>0.04</v>
      </c>
      <c r="S20" s="147">
        <f t="shared" si="0"/>
        <v>0</v>
      </c>
      <c r="T20" s="147">
        <f t="shared" si="1"/>
        <v>0</v>
      </c>
      <c r="U20" s="147">
        <f t="shared" si="2"/>
        <v>0</v>
      </c>
      <c r="V20" s="147">
        <f t="shared" si="3"/>
        <v>0</v>
      </c>
      <c r="W20" s="147">
        <f t="shared" si="4"/>
        <v>0</v>
      </c>
      <c r="X20" s="147">
        <f t="shared" si="5"/>
        <v>0</v>
      </c>
      <c r="Y20" s="147">
        <f t="shared" si="6"/>
        <v>0</v>
      </c>
      <c r="Z20" s="148">
        <f t="shared" si="9"/>
        <v>0</v>
      </c>
      <c r="AA20" s="269">
        <f t="shared" si="10"/>
        <v>0</v>
      </c>
      <c r="AB20" s="266" t="s">
        <v>673</v>
      </c>
    </row>
    <row r="21" spans="1:28" s="16" customFormat="1" ht="60.75" customHeight="1">
      <c r="A21" s="519" t="s">
        <v>176</v>
      </c>
      <c r="B21" s="356" t="s">
        <v>177</v>
      </c>
      <c r="C21" s="96" t="s">
        <v>753</v>
      </c>
      <c r="D21" s="96" t="s">
        <v>550</v>
      </c>
      <c r="E21" s="96" t="s">
        <v>37</v>
      </c>
      <c r="F21" s="356" t="s">
        <v>797</v>
      </c>
      <c r="G21" s="96" t="s">
        <v>34</v>
      </c>
      <c r="H21" s="96" t="s">
        <v>35</v>
      </c>
      <c r="I21" s="96">
        <v>0</v>
      </c>
      <c r="J21" s="96">
        <v>2</v>
      </c>
      <c r="K21" s="93">
        <v>4</v>
      </c>
      <c r="L21" s="93">
        <v>6</v>
      </c>
      <c r="M21" s="93">
        <v>8</v>
      </c>
      <c r="N21" s="93">
        <v>10</v>
      </c>
      <c r="O21" s="93">
        <v>12</v>
      </c>
      <c r="P21" s="191">
        <v>14</v>
      </c>
      <c r="Q21" s="135">
        <v>0</v>
      </c>
      <c r="R21" s="136">
        <v>0.04</v>
      </c>
      <c r="S21" s="175">
        <f t="shared" si="0"/>
        <v>0</v>
      </c>
      <c r="T21" s="175">
        <f t="shared" si="1"/>
        <v>0</v>
      </c>
      <c r="U21" s="175">
        <f t="shared" si="2"/>
        <v>0</v>
      </c>
      <c r="V21" s="175">
        <f t="shared" si="3"/>
        <v>0</v>
      </c>
      <c r="W21" s="175">
        <f t="shared" si="4"/>
        <v>0</v>
      </c>
      <c r="X21" s="175">
        <f t="shared" si="5"/>
        <v>0</v>
      </c>
      <c r="Y21" s="175">
        <f t="shared" si="6"/>
        <v>0</v>
      </c>
      <c r="Z21" s="137">
        <f t="shared" si="9"/>
        <v>0</v>
      </c>
      <c r="AA21" s="264">
        <f t="shared" si="10"/>
        <v>0</v>
      </c>
      <c r="AB21" s="276" t="s">
        <v>673</v>
      </c>
    </row>
    <row r="22" spans="1:28" s="16" customFormat="1" ht="55.5" customHeight="1">
      <c r="A22" s="521"/>
      <c r="B22" s="344" t="s">
        <v>178</v>
      </c>
      <c r="C22" s="97" t="s">
        <v>753</v>
      </c>
      <c r="D22" s="97" t="s">
        <v>551</v>
      </c>
      <c r="E22" s="97" t="s">
        <v>37</v>
      </c>
      <c r="F22" s="344" t="s">
        <v>179</v>
      </c>
      <c r="G22" s="97" t="s">
        <v>34</v>
      </c>
      <c r="H22" s="97" t="s">
        <v>35</v>
      </c>
      <c r="I22" s="97">
        <v>0</v>
      </c>
      <c r="J22" s="97">
        <v>2</v>
      </c>
      <c r="K22" s="97">
        <v>4</v>
      </c>
      <c r="L22" s="97">
        <v>6</v>
      </c>
      <c r="M22" s="97">
        <v>8</v>
      </c>
      <c r="N22" s="97">
        <v>10</v>
      </c>
      <c r="O22" s="97">
        <v>12</v>
      </c>
      <c r="P22" s="169">
        <v>14</v>
      </c>
      <c r="Q22" s="138">
        <v>30000000</v>
      </c>
      <c r="R22" s="139">
        <v>0.04</v>
      </c>
      <c r="S22" s="140">
        <f t="shared" si="0"/>
        <v>30000000</v>
      </c>
      <c r="T22" s="140">
        <f t="shared" si="1"/>
        <v>31200000</v>
      </c>
      <c r="U22" s="140">
        <f t="shared" si="2"/>
        <v>32448000</v>
      </c>
      <c r="V22" s="140">
        <f t="shared" si="3"/>
        <v>33745920</v>
      </c>
      <c r="W22" s="140">
        <f t="shared" si="4"/>
        <v>35095756.800000004</v>
      </c>
      <c r="X22" s="140">
        <f t="shared" si="5"/>
        <v>36499587.072000004</v>
      </c>
      <c r="Y22" s="140">
        <f t="shared" si="6"/>
        <v>37959570.554880008</v>
      </c>
      <c r="Z22" s="224">
        <f t="shared" si="9"/>
        <v>236948834.42688</v>
      </c>
      <c r="AA22" s="261">
        <f t="shared" si="10"/>
        <v>236948834.42688</v>
      </c>
      <c r="AB22" s="265" t="s">
        <v>663</v>
      </c>
    </row>
    <row r="23" spans="1:28" s="16" customFormat="1" ht="81.75" customHeight="1" thickBot="1">
      <c r="A23" s="522"/>
      <c r="B23" s="358" t="s">
        <v>180</v>
      </c>
      <c r="C23" s="98" t="s">
        <v>753</v>
      </c>
      <c r="D23" s="98" t="s">
        <v>538</v>
      </c>
      <c r="E23" s="98" t="s">
        <v>54</v>
      </c>
      <c r="F23" s="358" t="s">
        <v>181</v>
      </c>
      <c r="G23" s="98" t="s">
        <v>34</v>
      </c>
      <c r="H23" s="98" t="s">
        <v>35</v>
      </c>
      <c r="I23" s="98">
        <v>0</v>
      </c>
      <c r="J23" s="98">
        <v>1</v>
      </c>
      <c r="K23" s="98">
        <v>2</v>
      </c>
      <c r="L23" s="98">
        <v>2</v>
      </c>
      <c r="M23" s="98">
        <v>3</v>
      </c>
      <c r="N23" s="98">
        <v>3</v>
      </c>
      <c r="O23" s="98">
        <v>4</v>
      </c>
      <c r="P23" s="172">
        <v>4</v>
      </c>
      <c r="Q23" s="177">
        <v>0</v>
      </c>
      <c r="R23" s="146">
        <v>0.04</v>
      </c>
      <c r="S23" s="147">
        <f t="shared" si="0"/>
        <v>0</v>
      </c>
      <c r="T23" s="147">
        <f t="shared" si="1"/>
        <v>0</v>
      </c>
      <c r="U23" s="147">
        <f t="shared" si="2"/>
        <v>0</v>
      </c>
      <c r="V23" s="147">
        <f t="shared" si="3"/>
        <v>0</v>
      </c>
      <c r="W23" s="147">
        <f t="shared" si="4"/>
        <v>0</v>
      </c>
      <c r="X23" s="147">
        <f t="shared" si="5"/>
        <v>0</v>
      </c>
      <c r="Y23" s="147">
        <f t="shared" si="6"/>
        <v>0</v>
      </c>
      <c r="Z23" s="148">
        <f t="shared" si="9"/>
        <v>0</v>
      </c>
      <c r="AA23" s="219">
        <f t="shared" si="10"/>
        <v>0</v>
      </c>
      <c r="AB23" s="266" t="s">
        <v>673</v>
      </c>
    </row>
    <row r="25" spans="1:28">
      <c r="A25" s="526"/>
      <c r="B25" s="526"/>
      <c r="C25" s="526"/>
      <c r="D25" s="526"/>
      <c r="E25" s="526"/>
      <c r="F25" s="526"/>
      <c r="G25" s="526"/>
      <c r="H25" s="526"/>
      <c r="I25" s="526"/>
      <c r="J25" s="526"/>
      <c r="K25" s="526"/>
      <c r="L25" s="526"/>
      <c r="M25" s="526"/>
      <c r="N25" s="526"/>
      <c r="O25" s="526"/>
      <c r="P25" s="526"/>
    </row>
  </sheetData>
  <sheetProtection algorithmName="SHA-512" hashValue="Apb/KHFmSupDuJFeLqV9omvf4PGf6/J0q8uWI/vbTbEaBsrqaiIdJnD7Y8ajKtElpq5vSjmKo3xSToEm1wvPpw==" saltValue="+de95CH+rT4W88lghh5+lQ==" spinCount="100000" sheet="1" objects="1" scenarios="1"/>
  <mergeCells count="33">
    <mergeCell ref="D3:D4"/>
    <mergeCell ref="E3:E4"/>
    <mergeCell ref="AA5:AA8"/>
    <mergeCell ref="AA16:AA17"/>
    <mergeCell ref="Q3:Q4"/>
    <mergeCell ref="R3:R4"/>
    <mergeCell ref="S3:Y3"/>
    <mergeCell ref="Z3:Z4"/>
    <mergeCell ref="AA3:AA4"/>
    <mergeCell ref="A21:A23"/>
    <mergeCell ref="A25:P25"/>
    <mergeCell ref="A10:A11"/>
    <mergeCell ref="A12:A15"/>
    <mergeCell ref="A16:A20"/>
    <mergeCell ref="B16:B17"/>
    <mergeCell ref="C16:C17"/>
    <mergeCell ref="D16:D17"/>
    <mergeCell ref="AB3:AB4"/>
    <mergeCell ref="AB16:AB17"/>
    <mergeCell ref="AB5:AB8"/>
    <mergeCell ref="A2:P2"/>
    <mergeCell ref="A1:P1"/>
    <mergeCell ref="F3:F4"/>
    <mergeCell ref="G3:G4"/>
    <mergeCell ref="I3:I4"/>
    <mergeCell ref="J3:P3"/>
    <mergeCell ref="A5:A9"/>
    <mergeCell ref="B5:B8"/>
    <mergeCell ref="H3:H4"/>
    <mergeCell ref="D5:D8"/>
    <mergeCell ref="A3:A4"/>
    <mergeCell ref="B3:B4"/>
    <mergeCell ref="C3:C4"/>
  </mergeCells>
  <pageMargins left="0.7" right="0.7" top="0.75" bottom="0.75" header="0.3" footer="0.3"/>
  <pageSetup orientation="portrait" horizontalDpi="1200" verticalDpi="1200" r:id="rId1"/>
  <ignoredErrors>
    <ignoredError sqref="Z23 Z13 Z14 Z15 Z16 Z17 Z18 Z19 Z20 Z21 Z2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E5:E23</xm:sqref>
        </x14:dataValidation>
        <x14:dataValidation type="list" allowBlank="1" showInputMessage="1" showErrorMessage="1">
          <x14:formula1>
            <xm:f>Hoja2!$C$15:$C$17</xm:f>
          </x14:formula1>
          <xm:sqref>G5:G23</xm:sqref>
        </x14:dataValidation>
        <x14:dataValidation type="list" allowBlank="1" showInputMessage="1" showErrorMessage="1">
          <x14:formula1>
            <xm:f>Hoja2!$E$15:$E$26</xm:f>
          </x14:formula1>
          <xm:sqref>AB5:AB23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zoomScale="80" zoomScaleNormal="80" zoomScalePageLayoutView="60" workbookViewId="0">
      <selection sqref="A1:P1"/>
    </sheetView>
  </sheetViews>
  <sheetFormatPr baseColWidth="10" defaultColWidth="11" defaultRowHeight="15.75"/>
  <cols>
    <col min="1" max="1" width="27.875" customWidth="1"/>
    <col min="2" max="2" width="41" customWidth="1"/>
    <col min="3" max="3" width="18.625" customWidth="1"/>
    <col min="5" max="5" width="13.5" customWidth="1"/>
    <col min="6" max="6" width="32.375" customWidth="1"/>
    <col min="7" max="7" width="14.875" customWidth="1"/>
    <col min="8" max="8" width="19.125" customWidth="1"/>
    <col min="9" max="9" width="8.5" customWidth="1"/>
    <col min="10" max="16" width="6.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6" t="s">
        <v>681</v>
      </c>
      <c r="B1" s="466"/>
      <c r="C1" s="466"/>
      <c r="D1" s="466"/>
      <c r="E1" s="466"/>
      <c r="F1" s="466"/>
      <c r="G1" s="466"/>
      <c r="H1" s="466"/>
      <c r="I1" s="466"/>
      <c r="J1" s="466"/>
      <c r="K1" s="466"/>
      <c r="L1" s="466"/>
      <c r="M1" s="466"/>
      <c r="N1" s="466"/>
      <c r="O1" s="466"/>
      <c r="P1" s="466"/>
    </row>
    <row r="2" spans="1:29" ht="16.5" thickBot="1">
      <c r="A2" s="464"/>
      <c r="B2" s="464"/>
      <c r="C2" s="464"/>
      <c r="D2" s="464"/>
      <c r="E2" s="464"/>
      <c r="F2" s="464"/>
      <c r="G2" s="464"/>
      <c r="H2" s="464"/>
      <c r="I2" s="464"/>
      <c r="J2" s="464"/>
      <c r="K2" s="464"/>
      <c r="L2" s="464"/>
      <c r="M2" s="464"/>
      <c r="N2" s="464"/>
      <c r="O2" s="464"/>
      <c r="P2" s="465"/>
      <c r="R2" s="324">
        <f>R5+1</f>
        <v>1.04</v>
      </c>
    </row>
    <row r="3" spans="1:29"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41" t="s">
        <v>574</v>
      </c>
      <c r="AB3" s="515" t="s">
        <v>634</v>
      </c>
    </row>
    <row r="4" spans="1:29"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42"/>
      <c r="AB4" s="516"/>
    </row>
    <row r="5" spans="1:29" s="16" customFormat="1" ht="80.25" customHeight="1" thickBot="1">
      <c r="A5" s="538" t="s">
        <v>183</v>
      </c>
      <c r="B5" s="534" t="s">
        <v>640</v>
      </c>
      <c r="C5" s="96" t="s">
        <v>758</v>
      </c>
      <c r="D5" s="533" t="s">
        <v>552</v>
      </c>
      <c r="E5" s="96" t="s">
        <v>37</v>
      </c>
      <c r="F5" s="363" t="s">
        <v>502</v>
      </c>
      <c r="G5" s="93" t="s">
        <v>35</v>
      </c>
      <c r="H5" s="93" t="s">
        <v>35</v>
      </c>
      <c r="I5" s="99">
        <v>0</v>
      </c>
      <c r="J5" s="99">
        <v>5</v>
      </c>
      <c r="K5" s="99">
        <v>10</v>
      </c>
      <c r="L5" s="99">
        <v>15</v>
      </c>
      <c r="M5" s="99">
        <v>20</v>
      </c>
      <c r="N5" s="99">
        <v>25</v>
      </c>
      <c r="O5" s="99">
        <v>30</v>
      </c>
      <c r="P5" s="188">
        <v>35</v>
      </c>
      <c r="Q5" s="135">
        <v>0</v>
      </c>
      <c r="R5" s="136">
        <v>0.04</v>
      </c>
      <c r="S5" s="140">
        <f t="shared" ref="S5:S11" si="0">IF(J5&lt;&gt;0,Q5,0)</f>
        <v>0</v>
      </c>
      <c r="T5" s="140">
        <f t="shared" ref="T5:T11" si="1">IF(K5&lt;&gt;0,(IF(S5&lt;&gt;0,(S5*$R$2),($Q5*$R$2))),0)</f>
        <v>0</v>
      </c>
      <c r="U5" s="140">
        <f t="shared" ref="U5:U11" si="2">IF(L5&lt;&gt;0,(IF(T5&lt;&gt;0,(T5*$R$2),(($Q5*$R$2)*$R$2))),0)</f>
        <v>0</v>
      </c>
      <c r="V5" s="140">
        <f t="shared" ref="V5:V11" si="3">IF(M5&lt;&gt;0,(IF(U5&lt;&gt;0,(U5*$R$2),(($Q5*$R$2)*$R$2*$R$2))),0)</f>
        <v>0</v>
      </c>
      <c r="W5" s="140">
        <f t="shared" ref="W5:W11" si="4">IF(N5&lt;&gt;0,(IF(V5&lt;&gt;0,(V5*$R$2),(($Q5*$R$2)*$R$2*$R$2*$R$2))),0)</f>
        <v>0</v>
      </c>
      <c r="X5" s="140">
        <f t="shared" ref="X5:X11" si="5">IF(O5&lt;&gt;0,(IF(W5&lt;&gt;0,(W5*$R$2),(($Q5*$R$2)*$R$2*$R$2*$R$2*$R$2))),0)</f>
        <v>0</v>
      </c>
      <c r="Y5" s="140">
        <f t="shared" ref="Y5:Y11" si="6">IF(P5&lt;&gt;0,(IF(X5&lt;&gt;0,(X5*$R$2),(($Q5*$R$2)*$R$2*$R$2*$R$2*$R$2*$R$2))),0)</f>
        <v>0</v>
      </c>
      <c r="Z5" s="137">
        <f t="shared" ref="Z5:Z11" si="7">SUM(S5:Y5)</f>
        <v>0</v>
      </c>
      <c r="AA5" s="445">
        <f>SUM(Z5:Z6)</f>
        <v>157965889.61791998</v>
      </c>
      <c r="AB5" s="486" t="s">
        <v>677</v>
      </c>
      <c r="AC5" s="121"/>
    </row>
    <row r="6" spans="1:29" s="16" customFormat="1" ht="80.25" customHeight="1" thickBot="1">
      <c r="A6" s="539"/>
      <c r="B6" s="535"/>
      <c r="C6" s="95" t="s">
        <v>758</v>
      </c>
      <c r="D6" s="533"/>
      <c r="E6" s="95" t="s">
        <v>37</v>
      </c>
      <c r="F6" s="347" t="s">
        <v>497</v>
      </c>
      <c r="G6" s="103" t="s">
        <v>35</v>
      </c>
      <c r="H6" s="103" t="s">
        <v>35</v>
      </c>
      <c r="I6" s="103">
        <v>0</v>
      </c>
      <c r="J6" s="122">
        <v>1</v>
      </c>
      <c r="K6" s="122">
        <v>2</v>
      </c>
      <c r="L6" s="122">
        <v>3</v>
      </c>
      <c r="M6" s="122">
        <v>4</v>
      </c>
      <c r="N6" s="122">
        <v>5</v>
      </c>
      <c r="O6" s="122">
        <v>6</v>
      </c>
      <c r="P6" s="192">
        <v>7</v>
      </c>
      <c r="Q6" s="162">
        <v>20000000</v>
      </c>
      <c r="R6" s="144">
        <v>0.04</v>
      </c>
      <c r="S6" s="147">
        <f t="shared" si="0"/>
        <v>20000000</v>
      </c>
      <c r="T6" s="147">
        <f t="shared" si="1"/>
        <v>20800000</v>
      </c>
      <c r="U6" s="147">
        <f t="shared" si="2"/>
        <v>21632000</v>
      </c>
      <c r="V6" s="147">
        <f t="shared" si="3"/>
        <v>22497280</v>
      </c>
      <c r="W6" s="147">
        <f t="shared" si="4"/>
        <v>23397171.199999999</v>
      </c>
      <c r="X6" s="147">
        <f t="shared" si="5"/>
        <v>24333058.048</v>
      </c>
      <c r="Y6" s="147">
        <f t="shared" si="6"/>
        <v>25306380.36992</v>
      </c>
      <c r="Z6" s="145">
        <f t="shared" si="7"/>
        <v>157965889.61791998</v>
      </c>
      <c r="AA6" s="419"/>
      <c r="AB6" s="481"/>
    </row>
    <row r="7" spans="1:29" s="16" customFormat="1" ht="80.25" customHeight="1" thickBot="1">
      <c r="A7" s="539"/>
      <c r="B7" s="534" t="s">
        <v>495</v>
      </c>
      <c r="C7" s="96" t="s">
        <v>758</v>
      </c>
      <c r="D7" s="533" t="s">
        <v>552</v>
      </c>
      <c r="E7" s="96" t="s">
        <v>37</v>
      </c>
      <c r="F7" s="346" t="s">
        <v>720</v>
      </c>
      <c r="G7" s="93" t="s">
        <v>35</v>
      </c>
      <c r="H7" s="93" t="s">
        <v>35</v>
      </c>
      <c r="I7" s="93">
        <v>0</v>
      </c>
      <c r="J7" s="14">
        <v>20</v>
      </c>
      <c r="K7" s="14">
        <v>30</v>
      </c>
      <c r="L7" s="14">
        <v>40</v>
      </c>
      <c r="M7" s="14">
        <v>50</v>
      </c>
      <c r="N7" s="14">
        <v>60</v>
      </c>
      <c r="O7" s="14">
        <v>70</v>
      </c>
      <c r="P7" s="193">
        <v>80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45">
        <f>SUM(Z7:Z8)</f>
        <v>0</v>
      </c>
      <c r="AB7" s="484" t="s">
        <v>665</v>
      </c>
    </row>
    <row r="8" spans="1:29" s="16" customFormat="1" ht="80.25" customHeight="1" thickBot="1">
      <c r="A8" s="539"/>
      <c r="B8" s="535"/>
      <c r="C8" s="95" t="s">
        <v>758</v>
      </c>
      <c r="D8" s="533"/>
      <c r="E8" s="95" t="s">
        <v>37</v>
      </c>
      <c r="F8" s="357" t="s">
        <v>498</v>
      </c>
      <c r="G8" s="103" t="s">
        <v>35</v>
      </c>
      <c r="H8" s="103" t="s">
        <v>35</v>
      </c>
      <c r="I8" s="11">
        <v>0</v>
      </c>
      <c r="J8" s="10">
        <v>2</v>
      </c>
      <c r="K8" s="10">
        <v>4</v>
      </c>
      <c r="L8" s="10">
        <v>6</v>
      </c>
      <c r="M8" s="10">
        <v>8</v>
      </c>
      <c r="N8" s="10">
        <v>10</v>
      </c>
      <c r="O8" s="10">
        <v>12</v>
      </c>
      <c r="P8" s="194">
        <v>14</v>
      </c>
      <c r="Q8" s="143">
        <v>0</v>
      </c>
      <c r="R8" s="144">
        <v>0.04</v>
      </c>
      <c r="S8" s="147">
        <f t="shared" si="0"/>
        <v>0</v>
      </c>
      <c r="T8" s="147">
        <f t="shared" si="1"/>
        <v>0</v>
      </c>
      <c r="U8" s="147">
        <f t="shared" si="2"/>
        <v>0</v>
      </c>
      <c r="V8" s="147">
        <f t="shared" si="3"/>
        <v>0</v>
      </c>
      <c r="W8" s="147">
        <f t="shared" si="4"/>
        <v>0</v>
      </c>
      <c r="X8" s="147">
        <f t="shared" si="5"/>
        <v>0</v>
      </c>
      <c r="Y8" s="147">
        <f t="shared" si="6"/>
        <v>0</v>
      </c>
      <c r="Z8" s="145">
        <f t="shared" si="7"/>
        <v>0</v>
      </c>
      <c r="AA8" s="419"/>
      <c r="AB8" s="481"/>
    </row>
    <row r="9" spans="1:29" s="16" customFormat="1" ht="80.25" customHeight="1" thickBot="1">
      <c r="A9" s="539"/>
      <c r="B9" s="534" t="s">
        <v>496</v>
      </c>
      <c r="C9" s="96" t="s">
        <v>758</v>
      </c>
      <c r="D9" s="533" t="s">
        <v>552</v>
      </c>
      <c r="E9" s="96" t="s">
        <v>37</v>
      </c>
      <c r="F9" s="356" t="s">
        <v>501</v>
      </c>
      <c r="G9" s="93" t="s">
        <v>35</v>
      </c>
      <c r="H9" s="93" t="s">
        <v>35</v>
      </c>
      <c r="I9" s="4">
        <v>0</v>
      </c>
      <c r="J9" s="12">
        <v>1</v>
      </c>
      <c r="K9" s="12">
        <v>3</v>
      </c>
      <c r="L9" s="12">
        <v>5</v>
      </c>
      <c r="M9" s="12">
        <v>7</v>
      </c>
      <c r="N9" s="12">
        <v>9</v>
      </c>
      <c r="O9" s="12">
        <v>11</v>
      </c>
      <c r="P9" s="196">
        <v>13</v>
      </c>
      <c r="Q9" s="135">
        <v>20000000</v>
      </c>
      <c r="R9" s="136">
        <v>0.04</v>
      </c>
      <c r="S9" s="175">
        <f t="shared" si="0"/>
        <v>20000000</v>
      </c>
      <c r="T9" s="175">
        <f t="shared" si="1"/>
        <v>20800000</v>
      </c>
      <c r="U9" s="175">
        <f t="shared" si="2"/>
        <v>21632000</v>
      </c>
      <c r="V9" s="175">
        <f t="shared" si="3"/>
        <v>22497280</v>
      </c>
      <c r="W9" s="175">
        <f t="shared" si="4"/>
        <v>23397171.199999999</v>
      </c>
      <c r="X9" s="175">
        <f t="shared" si="5"/>
        <v>24333058.048</v>
      </c>
      <c r="Y9" s="175">
        <f t="shared" si="6"/>
        <v>25306380.36992</v>
      </c>
      <c r="Z9" s="137">
        <f t="shared" si="7"/>
        <v>157965889.61791998</v>
      </c>
      <c r="AA9" s="445">
        <f>SUM(Z9:Z11)</f>
        <v>355423251.64032</v>
      </c>
      <c r="AB9" s="480" t="s">
        <v>677</v>
      </c>
      <c r="AC9" s="121"/>
    </row>
    <row r="10" spans="1:29" s="16" customFormat="1" ht="80.25" customHeight="1" thickBot="1">
      <c r="A10" s="539"/>
      <c r="B10" s="536"/>
      <c r="C10" s="97" t="s">
        <v>758</v>
      </c>
      <c r="D10" s="533"/>
      <c r="E10" s="97" t="s">
        <v>37</v>
      </c>
      <c r="F10" s="344" t="s">
        <v>500</v>
      </c>
      <c r="G10" s="94" t="s">
        <v>35</v>
      </c>
      <c r="H10" s="94" t="s">
        <v>35</v>
      </c>
      <c r="I10" s="7">
        <v>0</v>
      </c>
      <c r="J10" s="123">
        <v>10</v>
      </c>
      <c r="K10" s="100">
        <v>15</v>
      </c>
      <c r="L10" s="100">
        <v>20</v>
      </c>
      <c r="M10" s="100">
        <v>25</v>
      </c>
      <c r="N10" s="100">
        <v>30</v>
      </c>
      <c r="O10" s="100">
        <v>35</v>
      </c>
      <c r="P10" s="189">
        <v>40</v>
      </c>
      <c r="Q10" s="142">
        <v>25000000</v>
      </c>
      <c r="R10" s="139">
        <v>0.04</v>
      </c>
      <c r="S10" s="140">
        <f t="shared" si="0"/>
        <v>25000000</v>
      </c>
      <c r="T10" s="140">
        <f t="shared" si="1"/>
        <v>26000000</v>
      </c>
      <c r="U10" s="140">
        <f t="shared" si="2"/>
        <v>27040000</v>
      </c>
      <c r="V10" s="140">
        <f t="shared" si="3"/>
        <v>28121600</v>
      </c>
      <c r="W10" s="140">
        <f t="shared" si="4"/>
        <v>29246464</v>
      </c>
      <c r="X10" s="140">
        <f t="shared" si="5"/>
        <v>30416322.560000002</v>
      </c>
      <c r="Y10" s="140">
        <f t="shared" si="6"/>
        <v>31632975.462400004</v>
      </c>
      <c r="Z10" s="141">
        <f t="shared" si="7"/>
        <v>197457362.02240002</v>
      </c>
      <c r="AA10" s="419"/>
      <c r="AB10" s="480"/>
    </row>
    <row r="11" spans="1:29" s="16" customFormat="1" ht="80.25" customHeight="1" thickBot="1">
      <c r="A11" s="540"/>
      <c r="B11" s="537"/>
      <c r="C11" s="98" t="s">
        <v>758</v>
      </c>
      <c r="D11" s="533"/>
      <c r="E11" s="98" t="s">
        <v>37</v>
      </c>
      <c r="F11" s="358" t="s">
        <v>499</v>
      </c>
      <c r="G11" s="117" t="s">
        <v>35</v>
      </c>
      <c r="H11" s="117" t="s">
        <v>35</v>
      </c>
      <c r="I11" s="98">
        <v>0</v>
      </c>
      <c r="J11" s="9">
        <v>10</v>
      </c>
      <c r="K11" s="102">
        <v>15</v>
      </c>
      <c r="L11" s="102">
        <v>20</v>
      </c>
      <c r="M11" s="102">
        <v>25</v>
      </c>
      <c r="N11" s="102">
        <v>30</v>
      </c>
      <c r="O11" s="102">
        <v>35</v>
      </c>
      <c r="P11" s="197">
        <v>40</v>
      </c>
      <c r="Q11" s="177">
        <v>0</v>
      </c>
      <c r="R11" s="146">
        <v>0.04</v>
      </c>
      <c r="S11" s="147">
        <f t="shared" si="0"/>
        <v>0</v>
      </c>
      <c r="T11" s="147">
        <f t="shared" si="1"/>
        <v>0</v>
      </c>
      <c r="U11" s="147">
        <f t="shared" si="2"/>
        <v>0</v>
      </c>
      <c r="V11" s="147">
        <f t="shared" si="3"/>
        <v>0</v>
      </c>
      <c r="W11" s="147">
        <f t="shared" si="4"/>
        <v>0</v>
      </c>
      <c r="X11" s="147">
        <f t="shared" si="5"/>
        <v>0</v>
      </c>
      <c r="Y11" s="147">
        <f t="shared" si="6"/>
        <v>0</v>
      </c>
      <c r="Z11" s="148">
        <f t="shared" si="7"/>
        <v>0</v>
      </c>
      <c r="AA11" s="444"/>
      <c r="AB11" s="481"/>
    </row>
    <row r="12" spans="1:29" ht="20.100000000000001" customHeight="1"/>
    <row r="13" spans="1:29" ht="20.25" customHeight="1">
      <c r="A13" s="526"/>
      <c r="B13" s="526"/>
      <c r="C13" s="526"/>
      <c r="D13" s="526"/>
      <c r="E13" s="526"/>
      <c r="F13" s="526"/>
      <c r="G13" s="526"/>
      <c r="H13" s="526"/>
      <c r="I13" s="526"/>
      <c r="J13" s="526"/>
      <c r="K13" s="526"/>
      <c r="L13" s="526"/>
      <c r="M13" s="526"/>
      <c r="N13" s="526"/>
      <c r="O13" s="526"/>
      <c r="P13" s="526"/>
    </row>
  </sheetData>
  <sheetProtection algorithmName="SHA-512" hashValue="ItP/29abmJKD67uLcNKAj7NcgvgfFnicaTfOmX6nXShkZB60anbxkuJ6MQqxRE1jiEbnTkDsoZLn/tmxf6T7Dw==" saltValue="HJ0AaP9a6RlDjyfuWIvdXw==" spinCount="100000" sheet="1" objects="1" scenarios="1"/>
  <mergeCells count="32">
    <mergeCell ref="R3:R4"/>
    <mergeCell ref="S3:Y3"/>
    <mergeCell ref="Z3:Z4"/>
    <mergeCell ref="AA3:AA4"/>
    <mergeCell ref="AB9:AB11"/>
    <mergeCell ref="AB3:AB4"/>
    <mergeCell ref="AB5:AB6"/>
    <mergeCell ref="AB7:AB8"/>
    <mergeCell ref="AA5:AA6"/>
    <mergeCell ref="AA7:AA8"/>
    <mergeCell ref="AA9:AA11"/>
    <mergeCell ref="D3:D4"/>
    <mergeCell ref="E3:E4"/>
    <mergeCell ref="A1:P1"/>
    <mergeCell ref="D5:D6"/>
    <mergeCell ref="Q3:Q4"/>
    <mergeCell ref="D7:D8"/>
    <mergeCell ref="D9:D11"/>
    <mergeCell ref="A2:P2"/>
    <mergeCell ref="A13:P13"/>
    <mergeCell ref="B5:B6"/>
    <mergeCell ref="B7:B8"/>
    <mergeCell ref="B9:B11"/>
    <mergeCell ref="F3:F4"/>
    <mergeCell ref="G3:G4"/>
    <mergeCell ref="I3:I4"/>
    <mergeCell ref="J3:P3"/>
    <mergeCell ref="A5:A11"/>
    <mergeCell ref="H3:H4"/>
    <mergeCell ref="A3:A4"/>
    <mergeCell ref="B3:B4"/>
    <mergeCell ref="C3:C4"/>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G5:G11</xm:sqref>
        </x14:dataValidation>
        <x14:dataValidation type="list" allowBlank="1" showInputMessage="1" showErrorMessage="1">
          <x14:formula1>
            <xm:f>Hoja2!$A$1:$A$3</xm:f>
          </x14:formula1>
          <xm:sqref>E5:E11</xm:sqref>
        </x14:dataValidation>
        <x14:dataValidation type="list" allowBlank="1" showInputMessage="1" showErrorMessage="1">
          <x14:formula1>
            <xm:f>Hoja2!$E$15:$E$26</xm:f>
          </x14:formula1>
          <xm:sqref>AB5:AB11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zoomScale="80" zoomScaleNormal="80" zoomScalePageLayoutView="50" workbookViewId="0">
      <selection sqref="A1:P1"/>
    </sheetView>
  </sheetViews>
  <sheetFormatPr baseColWidth="10" defaultColWidth="11" defaultRowHeight="15.75"/>
  <cols>
    <col min="1" max="1" width="28.5" customWidth="1"/>
    <col min="2" max="2" width="46.625" customWidth="1"/>
    <col min="3" max="3" width="22.125" customWidth="1"/>
    <col min="5" max="5" width="13.5" customWidth="1"/>
    <col min="6" max="6" width="31.125" customWidth="1"/>
    <col min="7" max="7" width="16.5" customWidth="1"/>
    <col min="8" max="8" width="19" customWidth="1"/>
    <col min="9" max="9" width="19.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6" t="s">
        <v>681</v>
      </c>
      <c r="B1" s="466"/>
      <c r="C1" s="466"/>
      <c r="D1" s="466"/>
      <c r="E1" s="466"/>
      <c r="F1" s="466"/>
      <c r="G1" s="466"/>
      <c r="H1" s="466"/>
      <c r="I1" s="466"/>
      <c r="J1" s="466"/>
      <c r="K1" s="466"/>
      <c r="L1" s="466"/>
      <c r="M1" s="466"/>
      <c r="N1" s="466"/>
      <c r="O1" s="466"/>
      <c r="P1" s="466"/>
    </row>
    <row r="2" spans="1:28" ht="15.75" customHeight="1" thickBot="1">
      <c r="A2" s="464"/>
      <c r="B2" s="464"/>
      <c r="C2" s="464"/>
      <c r="D2" s="464"/>
      <c r="E2" s="464"/>
      <c r="F2" s="464"/>
      <c r="G2" s="464"/>
      <c r="H2" s="464"/>
      <c r="I2" s="464"/>
      <c r="J2" s="464"/>
      <c r="K2" s="464"/>
      <c r="L2" s="464"/>
      <c r="M2" s="464"/>
      <c r="N2" s="464"/>
      <c r="O2" s="464"/>
      <c r="P2" s="465"/>
      <c r="R2" s="325">
        <f>R5+1</f>
        <v>1.04</v>
      </c>
    </row>
    <row r="3" spans="1:28" ht="22.5" customHeight="1">
      <c r="A3" s="478" t="s">
        <v>20</v>
      </c>
      <c r="B3" s="472" t="s">
        <v>21</v>
      </c>
      <c r="C3" s="472" t="s">
        <v>22</v>
      </c>
      <c r="D3" s="472" t="s">
        <v>23</v>
      </c>
      <c r="E3" s="474" t="s">
        <v>24</v>
      </c>
      <c r="F3" s="474" t="s">
        <v>25</v>
      </c>
      <c r="G3" s="472" t="s">
        <v>26</v>
      </c>
      <c r="H3" s="472" t="s">
        <v>475</v>
      </c>
      <c r="I3" s="474" t="s">
        <v>27</v>
      </c>
      <c r="J3" s="475" t="s">
        <v>28</v>
      </c>
      <c r="K3" s="475"/>
      <c r="L3" s="475"/>
      <c r="M3" s="475"/>
      <c r="N3" s="475"/>
      <c r="O3" s="475"/>
      <c r="P3" s="475"/>
      <c r="Q3" s="487" t="s">
        <v>570</v>
      </c>
      <c r="R3" s="489" t="s">
        <v>571</v>
      </c>
      <c r="S3" s="491" t="s">
        <v>572</v>
      </c>
      <c r="T3" s="491"/>
      <c r="U3" s="491"/>
      <c r="V3" s="491"/>
      <c r="W3" s="491"/>
      <c r="X3" s="491"/>
      <c r="Y3" s="500"/>
      <c r="Z3" s="492" t="s">
        <v>573</v>
      </c>
      <c r="AA3" s="502" t="s">
        <v>574</v>
      </c>
      <c r="AB3" s="515" t="s">
        <v>634</v>
      </c>
    </row>
    <row r="4" spans="1:28" ht="22.5" customHeight="1" thickBot="1">
      <c r="A4" s="479"/>
      <c r="B4" s="473"/>
      <c r="C4" s="473"/>
      <c r="D4" s="473"/>
      <c r="E4" s="472"/>
      <c r="F4" s="472"/>
      <c r="G4" s="473"/>
      <c r="H4" s="473"/>
      <c r="I4" s="472"/>
      <c r="J4" s="1">
        <v>2021</v>
      </c>
      <c r="K4" s="1">
        <v>2022</v>
      </c>
      <c r="L4" s="1">
        <v>2023</v>
      </c>
      <c r="M4" s="1">
        <v>2024</v>
      </c>
      <c r="N4" s="1">
        <v>2025</v>
      </c>
      <c r="O4" s="1">
        <v>2026</v>
      </c>
      <c r="P4" s="1">
        <v>2027</v>
      </c>
      <c r="Q4" s="498"/>
      <c r="R4" s="499"/>
      <c r="S4" s="133">
        <v>2021</v>
      </c>
      <c r="T4" s="133">
        <v>2022</v>
      </c>
      <c r="U4" s="133">
        <v>2023</v>
      </c>
      <c r="V4" s="133">
        <v>2024</v>
      </c>
      <c r="W4" s="133">
        <v>2025</v>
      </c>
      <c r="X4" s="133">
        <v>2026</v>
      </c>
      <c r="Y4" s="134">
        <v>2027</v>
      </c>
      <c r="Z4" s="501"/>
      <c r="AA4" s="503"/>
      <c r="AB4" s="516"/>
    </row>
    <row r="5" spans="1:28" s="16" customFormat="1" ht="121.5" customHeight="1">
      <c r="A5" s="519" t="s">
        <v>186</v>
      </c>
      <c r="B5" s="529" t="s">
        <v>695</v>
      </c>
      <c r="C5" s="99" t="s">
        <v>187</v>
      </c>
      <c r="D5" s="531" t="s">
        <v>543</v>
      </c>
      <c r="E5" s="99" t="s">
        <v>37</v>
      </c>
      <c r="F5" s="363" t="s">
        <v>188</v>
      </c>
      <c r="G5" s="99" t="s">
        <v>35</v>
      </c>
      <c r="H5" s="99" t="s">
        <v>35</v>
      </c>
      <c r="I5" s="99" t="s">
        <v>189</v>
      </c>
      <c r="J5" s="99">
        <v>30</v>
      </c>
      <c r="K5" s="99">
        <v>31</v>
      </c>
      <c r="L5" s="99">
        <v>32</v>
      </c>
      <c r="M5" s="99">
        <v>33</v>
      </c>
      <c r="N5" s="99">
        <v>35</v>
      </c>
      <c r="O5" s="99">
        <v>37</v>
      </c>
      <c r="P5" s="8">
        <v>38</v>
      </c>
      <c r="Q5" s="135">
        <v>0</v>
      </c>
      <c r="R5" s="136">
        <v>0.04</v>
      </c>
      <c r="S5" s="140">
        <f t="shared" ref="S5:S28" si="0">IF(J5&lt;&gt;0,Q5,0)</f>
        <v>0</v>
      </c>
      <c r="T5" s="140">
        <f t="shared" ref="T5:T22" si="1">IF(K5&lt;&gt;0,(IF(S5&lt;&gt;0,(S5*$R$2),($Q5*$R$2))),0)</f>
        <v>0</v>
      </c>
      <c r="U5" s="140">
        <f t="shared" ref="U5:U22" si="2">IF(L5&lt;&gt;0,(IF(T5&lt;&gt;0,(T5*$R$2),(($Q5*$R$2)*$R$2))),0)</f>
        <v>0</v>
      </c>
      <c r="V5" s="140">
        <f t="shared" ref="V5:V22" si="3">IF(M5&lt;&gt;0,(IF(U5&lt;&gt;0,(U5*$R$2),(($Q5*$R$2)*$R$2*$R$2))),0)</f>
        <v>0</v>
      </c>
      <c r="W5" s="140">
        <f t="shared" ref="W5:W22" si="4">IF(N5&lt;&gt;0,(IF(V5&lt;&gt;0,(V5*$R$2),(($Q5*$R$2)*$R$2*$R$2*$R$2))),0)</f>
        <v>0</v>
      </c>
      <c r="X5" s="140">
        <f t="shared" ref="X5:X22" si="5">IF(O5&lt;&gt;0,(IF(W5&lt;&gt;0,(W5*$R$2),(($Q5*$R$2)*$R$2*$R$2*$R$2*$R$2))),0)</f>
        <v>0</v>
      </c>
      <c r="Y5" s="140">
        <f t="shared" ref="Y5:Y22" si="6">IF(P5&lt;&gt;0,(IF(X5&lt;&gt;0,(X5*$R$2),(($Q5*$R$2)*$R$2*$R$2*$R$2*$R$2*$R$2))),0)</f>
        <v>0</v>
      </c>
      <c r="Z5" s="137">
        <f>SUM(S5:Y5)</f>
        <v>0</v>
      </c>
      <c r="AA5" s="445">
        <f>SUM(Z5:Z9)</f>
        <v>0</v>
      </c>
      <c r="AB5" s="486" t="s">
        <v>673</v>
      </c>
    </row>
    <row r="6" spans="1:28" s="16" customFormat="1" ht="117.95" customHeight="1">
      <c r="A6" s="521"/>
      <c r="B6" s="530"/>
      <c r="C6" s="100" t="s">
        <v>187</v>
      </c>
      <c r="D6" s="532"/>
      <c r="E6" s="100" t="s">
        <v>37</v>
      </c>
      <c r="F6" s="341" t="s">
        <v>190</v>
      </c>
      <c r="G6" s="100" t="s">
        <v>35</v>
      </c>
      <c r="H6" s="100" t="s">
        <v>35</v>
      </c>
      <c r="I6" s="100" t="s">
        <v>191</v>
      </c>
      <c r="J6" s="100">
        <v>21</v>
      </c>
      <c r="K6" s="100">
        <v>22</v>
      </c>
      <c r="L6" s="100">
        <v>23</v>
      </c>
      <c r="M6" s="100">
        <v>24</v>
      </c>
      <c r="N6" s="100">
        <v>25</v>
      </c>
      <c r="O6" s="100">
        <v>26</v>
      </c>
      <c r="P6" s="42">
        <v>27</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23" si="7">SUM(S6:Y6)</f>
        <v>0</v>
      </c>
      <c r="AA6" s="419"/>
      <c r="AB6" s="480"/>
    </row>
    <row r="7" spans="1:28" s="16" customFormat="1" ht="111.75" customHeight="1">
      <c r="A7" s="521"/>
      <c r="B7" s="530"/>
      <c r="C7" s="100" t="s">
        <v>764</v>
      </c>
      <c r="D7" s="532"/>
      <c r="E7" s="100" t="s">
        <v>37</v>
      </c>
      <c r="F7" s="341" t="s">
        <v>192</v>
      </c>
      <c r="G7" s="100" t="s">
        <v>35</v>
      </c>
      <c r="H7" s="100" t="s">
        <v>35</v>
      </c>
      <c r="I7" s="100">
        <v>11</v>
      </c>
      <c r="J7" s="100">
        <v>13</v>
      </c>
      <c r="K7" s="100">
        <v>14</v>
      </c>
      <c r="L7" s="100">
        <v>15</v>
      </c>
      <c r="M7" s="100">
        <v>16</v>
      </c>
      <c r="N7" s="100">
        <v>17</v>
      </c>
      <c r="O7" s="100">
        <v>18</v>
      </c>
      <c r="P7" s="42">
        <v>20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19"/>
      <c r="AB7" s="480"/>
    </row>
    <row r="8" spans="1:28" s="16" customFormat="1" ht="90" customHeight="1">
      <c r="A8" s="521"/>
      <c r="B8" s="530"/>
      <c r="C8" s="100" t="s">
        <v>193</v>
      </c>
      <c r="D8" s="532"/>
      <c r="E8" s="100" t="s">
        <v>37</v>
      </c>
      <c r="F8" s="341" t="s">
        <v>841</v>
      </c>
      <c r="G8" s="333" t="s">
        <v>35</v>
      </c>
      <c r="H8" s="333" t="s">
        <v>35</v>
      </c>
      <c r="I8" s="333" t="s">
        <v>194</v>
      </c>
      <c r="J8" s="333">
        <v>40</v>
      </c>
      <c r="K8" s="333">
        <v>50</v>
      </c>
      <c r="L8" s="333">
        <v>60</v>
      </c>
      <c r="M8" s="333">
        <v>70</v>
      </c>
      <c r="N8" s="333">
        <v>80</v>
      </c>
      <c r="O8" s="333">
        <v>90</v>
      </c>
      <c r="P8" s="42">
        <v>100</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19"/>
      <c r="AB8" s="480"/>
    </row>
    <row r="9" spans="1:28" s="16" customFormat="1" ht="82.5" customHeight="1" thickBot="1">
      <c r="A9" s="520"/>
      <c r="B9" s="508"/>
      <c r="C9" s="101" t="s">
        <v>195</v>
      </c>
      <c r="D9" s="543"/>
      <c r="E9" s="101" t="s">
        <v>37</v>
      </c>
      <c r="F9" s="345" t="s">
        <v>196</v>
      </c>
      <c r="G9" s="101" t="s">
        <v>34</v>
      </c>
      <c r="H9" s="101" t="s">
        <v>35</v>
      </c>
      <c r="I9" s="101" t="s">
        <v>197</v>
      </c>
      <c r="J9" s="101">
        <v>20</v>
      </c>
      <c r="K9" s="101">
        <v>23</v>
      </c>
      <c r="L9" s="101">
        <v>25</v>
      </c>
      <c r="M9" s="101">
        <v>25</v>
      </c>
      <c r="N9" s="101">
        <v>25</v>
      </c>
      <c r="O9" s="101">
        <v>25</v>
      </c>
      <c r="P9" s="13">
        <v>25</v>
      </c>
      <c r="Q9" s="162">
        <v>0</v>
      </c>
      <c r="R9" s="144">
        <v>0.04</v>
      </c>
      <c r="S9" s="147">
        <f t="shared" si="0"/>
        <v>0</v>
      </c>
      <c r="T9" s="147">
        <f t="shared" si="1"/>
        <v>0</v>
      </c>
      <c r="U9" s="147">
        <f t="shared" si="2"/>
        <v>0</v>
      </c>
      <c r="V9" s="147">
        <f t="shared" si="3"/>
        <v>0</v>
      </c>
      <c r="W9" s="147">
        <f t="shared" si="4"/>
        <v>0</v>
      </c>
      <c r="X9" s="147">
        <f t="shared" si="5"/>
        <v>0</v>
      </c>
      <c r="Y9" s="147">
        <f t="shared" si="6"/>
        <v>0</v>
      </c>
      <c r="Z9" s="145">
        <f t="shared" si="7"/>
        <v>0</v>
      </c>
      <c r="AA9" s="419"/>
      <c r="AB9" s="481"/>
    </row>
    <row r="10" spans="1:28" s="16" customFormat="1" ht="84.75" customHeight="1">
      <c r="A10" s="519" t="s">
        <v>198</v>
      </c>
      <c r="B10" s="529" t="s">
        <v>199</v>
      </c>
      <c r="C10" s="99" t="s">
        <v>759</v>
      </c>
      <c r="D10" s="531" t="s">
        <v>537</v>
      </c>
      <c r="E10" s="99" t="s">
        <v>32</v>
      </c>
      <c r="F10" s="364" t="s">
        <v>200</v>
      </c>
      <c r="G10" s="99" t="s">
        <v>35</v>
      </c>
      <c r="H10" s="99" t="s">
        <v>35</v>
      </c>
      <c r="I10" s="99" t="s">
        <v>201</v>
      </c>
      <c r="J10" s="17">
        <v>0.5</v>
      </c>
      <c r="K10" s="17">
        <v>1</v>
      </c>
      <c r="L10" s="17">
        <v>1</v>
      </c>
      <c r="M10" s="17">
        <v>1</v>
      </c>
      <c r="N10" s="17">
        <v>1</v>
      </c>
      <c r="O10" s="17">
        <v>1</v>
      </c>
      <c r="P10" s="198">
        <v>1</v>
      </c>
      <c r="Q10" s="150">
        <v>20000000</v>
      </c>
      <c r="R10" s="136">
        <v>0.04</v>
      </c>
      <c r="S10" s="175">
        <f t="shared" si="0"/>
        <v>20000000</v>
      </c>
      <c r="T10" s="175">
        <f t="shared" si="1"/>
        <v>20800000</v>
      </c>
      <c r="U10" s="175">
        <f t="shared" si="2"/>
        <v>21632000</v>
      </c>
      <c r="V10" s="175">
        <f t="shared" si="3"/>
        <v>22497280</v>
      </c>
      <c r="W10" s="175">
        <f t="shared" si="4"/>
        <v>23397171.199999999</v>
      </c>
      <c r="X10" s="175">
        <f t="shared" si="5"/>
        <v>24333058.048</v>
      </c>
      <c r="Y10" s="175">
        <f t="shared" si="6"/>
        <v>25306380.36992</v>
      </c>
      <c r="Z10" s="137">
        <f t="shared" si="7"/>
        <v>157965889.61791998</v>
      </c>
      <c r="AA10" s="494">
        <f>SUM(Z10:Z20)</f>
        <v>236948834.42687997</v>
      </c>
      <c r="AB10" s="480" t="s">
        <v>666</v>
      </c>
    </row>
    <row r="11" spans="1:28" s="16" customFormat="1" ht="69" customHeight="1">
      <c r="A11" s="521"/>
      <c r="B11" s="530"/>
      <c r="C11" s="100" t="s">
        <v>760</v>
      </c>
      <c r="D11" s="532"/>
      <c r="E11" s="100" t="s">
        <v>37</v>
      </c>
      <c r="F11" s="341" t="s">
        <v>202</v>
      </c>
      <c r="G11" s="100" t="s">
        <v>34</v>
      </c>
      <c r="H11" s="100" t="s">
        <v>35</v>
      </c>
      <c r="I11" s="100">
        <v>0</v>
      </c>
      <c r="J11" s="100">
        <v>0</v>
      </c>
      <c r="K11" s="100">
        <v>2</v>
      </c>
      <c r="L11" s="100">
        <v>2</v>
      </c>
      <c r="M11" s="100">
        <v>2</v>
      </c>
      <c r="N11" s="100">
        <v>2</v>
      </c>
      <c r="O11" s="100">
        <v>2</v>
      </c>
      <c r="P11" s="189">
        <v>2</v>
      </c>
      <c r="Q11" s="138">
        <v>0</v>
      </c>
      <c r="R11" s="139">
        <v>0.04</v>
      </c>
      <c r="S11" s="140">
        <f t="shared" si="0"/>
        <v>0</v>
      </c>
      <c r="T11" s="140">
        <f t="shared" si="1"/>
        <v>0</v>
      </c>
      <c r="U11" s="140">
        <f t="shared" si="2"/>
        <v>0</v>
      </c>
      <c r="V11" s="140">
        <f t="shared" si="3"/>
        <v>0</v>
      </c>
      <c r="W11" s="140">
        <f t="shared" si="4"/>
        <v>0</v>
      </c>
      <c r="X11" s="140">
        <f t="shared" si="5"/>
        <v>0</v>
      </c>
      <c r="Y11" s="140">
        <f t="shared" si="6"/>
        <v>0</v>
      </c>
      <c r="Z11" s="224">
        <f t="shared" si="7"/>
        <v>0</v>
      </c>
      <c r="AA11" s="427"/>
      <c r="AB11" s="480"/>
    </row>
    <row r="12" spans="1:28" s="16" customFormat="1" ht="87.75" customHeight="1">
      <c r="A12" s="521"/>
      <c r="B12" s="530"/>
      <c r="C12" s="100" t="s">
        <v>760</v>
      </c>
      <c r="D12" s="532"/>
      <c r="E12" s="100" t="s">
        <v>37</v>
      </c>
      <c r="F12" s="341" t="s">
        <v>203</v>
      </c>
      <c r="G12" s="100" t="s">
        <v>34</v>
      </c>
      <c r="H12" s="100" t="s">
        <v>35</v>
      </c>
      <c r="I12" s="100">
        <v>0</v>
      </c>
      <c r="J12" s="100">
        <v>0</v>
      </c>
      <c r="K12" s="100">
        <v>2</v>
      </c>
      <c r="L12" s="100">
        <v>2</v>
      </c>
      <c r="M12" s="100">
        <v>2</v>
      </c>
      <c r="N12" s="100">
        <v>2</v>
      </c>
      <c r="O12" s="100">
        <v>2</v>
      </c>
      <c r="P12" s="189">
        <v>2</v>
      </c>
      <c r="Q12" s="138">
        <v>0</v>
      </c>
      <c r="R12" s="139">
        <v>0.04</v>
      </c>
      <c r="S12" s="140">
        <f t="shared" si="0"/>
        <v>0</v>
      </c>
      <c r="T12" s="140">
        <f t="shared" si="1"/>
        <v>0</v>
      </c>
      <c r="U12" s="140">
        <f t="shared" si="2"/>
        <v>0</v>
      </c>
      <c r="V12" s="140">
        <f t="shared" si="3"/>
        <v>0</v>
      </c>
      <c r="W12" s="140">
        <f t="shared" si="4"/>
        <v>0</v>
      </c>
      <c r="X12" s="140">
        <f t="shared" si="5"/>
        <v>0</v>
      </c>
      <c r="Y12" s="140">
        <f t="shared" si="6"/>
        <v>0</v>
      </c>
      <c r="Z12" s="224">
        <f t="shared" si="7"/>
        <v>0</v>
      </c>
      <c r="AA12" s="427"/>
      <c r="AB12" s="480"/>
    </row>
    <row r="13" spans="1:28" s="16" customFormat="1" ht="72.75" customHeight="1">
      <c r="A13" s="521"/>
      <c r="B13" s="530"/>
      <c r="C13" s="100" t="s">
        <v>761</v>
      </c>
      <c r="D13" s="532"/>
      <c r="E13" s="100" t="s">
        <v>37</v>
      </c>
      <c r="F13" s="341" t="s">
        <v>781</v>
      </c>
      <c r="G13" s="100" t="s">
        <v>35</v>
      </c>
      <c r="H13" s="100" t="s">
        <v>35</v>
      </c>
      <c r="I13" s="100">
        <v>0</v>
      </c>
      <c r="J13" s="53">
        <v>1</v>
      </c>
      <c r="K13" s="53">
        <v>1</v>
      </c>
      <c r="L13" s="53">
        <v>1</v>
      </c>
      <c r="M13" s="53">
        <v>1</v>
      </c>
      <c r="N13" s="53">
        <v>1</v>
      </c>
      <c r="O13" s="53">
        <v>1</v>
      </c>
      <c r="P13" s="199">
        <v>1</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427"/>
      <c r="AB13" s="480"/>
    </row>
    <row r="14" spans="1:28" s="16" customFormat="1" ht="124.5" customHeight="1">
      <c r="A14" s="521"/>
      <c r="B14" s="530"/>
      <c r="C14" s="100" t="s">
        <v>760</v>
      </c>
      <c r="D14" s="532"/>
      <c r="E14" s="100" t="s">
        <v>32</v>
      </c>
      <c r="F14" s="341" t="s">
        <v>782</v>
      </c>
      <c r="G14" s="100" t="s">
        <v>35</v>
      </c>
      <c r="H14" s="100" t="s">
        <v>35</v>
      </c>
      <c r="I14" s="100" t="s">
        <v>204</v>
      </c>
      <c r="J14" s="30">
        <v>0.05</v>
      </c>
      <c r="K14" s="30">
        <v>0.1</v>
      </c>
      <c r="L14" s="30">
        <v>0.2</v>
      </c>
      <c r="M14" s="30">
        <v>0.3</v>
      </c>
      <c r="N14" s="30">
        <v>0.4</v>
      </c>
      <c r="O14" s="30">
        <v>0.5</v>
      </c>
      <c r="P14" s="190">
        <v>0.6</v>
      </c>
      <c r="Q14" s="138">
        <v>0</v>
      </c>
      <c r="R14" s="139">
        <v>0.04</v>
      </c>
      <c r="S14" s="140">
        <f t="shared" si="0"/>
        <v>0</v>
      </c>
      <c r="T14" s="140">
        <f t="shared" si="1"/>
        <v>0</v>
      </c>
      <c r="U14" s="140">
        <f t="shared" si="2"/>
        <v>0</v>
      </c>
      <c r="V14" s="140">
        <f t="shared" si="3"/>
        <v>0</v>
      </c>
      <c r="W14" s="140">
        <f t="shared" si="4"/>
        <v>0</v>
      </c>
      <c r="X14" s="140">
        <f t="shared" si="5"/>
        <v>0</v>
      </c>
      <c r="Y14" s="140">
        <f t="shared" si="6"/>
        <v>0</v>
      </c>
      <c r="Z14" s="224">
        <f t="shared" si="7"/>
        <v>0</v>
      </c>
      <c r="AA14" s="427"/>
      <c r="AB14" s="480"/>
    </row>
    <row r="15" spans="1:28" s="16" customFormat="1" ht="87" customHeight="1">
      <c r="A15" s="521"/>
      <c r="B15" s="530"/>
      <c r="C15" s="100" t="s">
        <v>761</v>
      </c>
      <c r="D15" s="532"/>
      <c r="E15" s="100" t="s">
        <v>37</v>
      </c>
      <c r="F15" s="365" t="s">
        <v>205</v>
      </c>
      <c r="G15" s="100" t="s">
        <v>35</v>
      </c>
      <c r="H15" s="100" t="s">
        <v>35</v>
      </c>
      <c r="I15" s="100">
        <v>0</v>
      </c>
      <c r="J15" s="53">
        <v>0</v>
      </c>
      <c r="K15" s="53">
        <v>2</v>
      </c>
      <c r="L15" s="100">
        <v>0</v>
      </c>
      <c r="M15" s="100">
        <v>0</v>
      </c>
      <c r="N15" s="100">
        <v>0</v>
      </c>
      <c r="O15" s="100">
        <v>0</v>
      </c>
      <c r="P15" s="189">
        <v>0</v>
      </c>
      <c r="Q15" s="138">
        <v>0</v>
      </c>
      <c r="R15" s="139">
        <v>0.04</v>
      </c>
      <c r="S15" s="140">
        <f t="shared" si="0"/>
        <v>0</v>
      </c>
      <c r="T15" s="140">
        <f t="shared" si="1"/>
        <v>0</v>
      </c>
      <c r="U15" s="140">
        <f t="shared" si="2"/>
        <v>0</v>
      </c>
      <c r="V15" s="140">
        <f t="shared" si="3"/>
        <v>0</v>
      </c>
      <c r="W15" s="140">
        <f t="shared" si="4"/>
        <v>0</v>
      </c>
      <c r="X15" s="140">
        <f t="shared" si="5"/>
        <v>0</v>
      </c>
      <c r="Y15" s="140">
        <f t="shared" si="6"/>
        <v>0</v>
      </c>
      <c r="Z15" s="224">
        <f t="shared" si="7"/>
        <v>0</v>
      </c>
      <c r="AA15" s="427"/>
      <c r="AB15" s="480"/>
    </row>
    <row r="16" spans="1:28" s="16" customFormat="1" ht="78.95" customHeight="1">
      <c r="A16" s="521"/>
      <c r="B16" s="530"/>
      <c r="C16" s="100" t="s">
        <v>762</v>
      </c>
      <c r="D16" s="532"/>
      <c r="E16" s="100" t="s">
        <v>32</v>
      </c>
      <c r="F16" s="365" t="s">
        <v>206</v>
      </c>
      <c r="G16" s="100" t="s">
        <v>34</v>
      </c>
      <c r="H16" s="100" t="s">
        <v>35</v>
      </c>
      <c r="I16" s="100" t="s">
        <v>207</v>
      </c>
      <c r="J16" s="30">
        <v>0</v>
      </c>
      <c r="K16" s="30">
        <v>0.02</v>
      </c>
      <c r="L16" s="30">
        <v>0.04</v>
      </c>
      <c r="M16" s="30">
        <v>0.06</v>
      </c>
      <c r="N16" s="30">
        <v>0.08</v>
      </c>
      <c r="O16" s="30">
        <v>0.09</v>
      </c>
      <c r="P16" s="190">
        <v>0.1</v>
      </c>
      <c r="Q16" s="138">
        <v>0</v>
      </c>
      <c r="R16" s="139">
        <v>0.04</v>
      </c>
      <c r="S16" s="140">
        <f t="shared" si="0"/>
        <v>0</v>
      </c>
      <c r="T16" s="140">
        <f t="shared" si="1"/>
        <v>0</v>
      </c>
      <c r="U16" s="140">
        <f t="shared" si="2"/>
        <v>0</v>
      </c>
      <c r="V16" s="140">
        <f t="shared" si="3"/>
        <v>0</v>
      </c>
      <c r="W16" s="140">
        <f t="shared" si="4"/>
        <v>0</v>
      </c>
      <c r="X16" s="140">
        <f t="shared" si="5"/>
        <v>0</v>
      </c>
      <c r="Y16" s="140">
        <f t="shared" si="6"/>
        <v>0</v>
      </c>
      <c r="Z16" s="224">
        <f t="shared" si="7"/>
        <v>0</v>
      </c>
      <c r="AA16" s="427"/>
      <c r="AB16" s="480"/>
    </row>
    <row r="17" spans="1:32" s="16" customFormat="1" ht="114" customHeight="1">
      <c r="A17" s="521"/>
      <c r="B17" s="530"/>
      <c r="C17" s="100" t="s">
        <v>765</v>
      </c>
      <c r="D17" s="532"/>
      <c r="E17" s="100" t="s">
        <v>37</v>
      </c>
      <c r="F17" s="365" t="s">
        <v>208</v>
      </c>
      <c r="G17" s="100" t="s">
        <v>35</v>
      </c>
      <c r="H17" s="125" t="s">
        <v>35</v>
      </c>
      <c r="I17" s="100" t="s">
        <v>209</v>
      </c>
      <c r="J17" s="100">
        <v>0</v>
      </c>
      <c r="K17" s="100">
        <v>1</v>
      </c>
      <c r="L17" s="100">
        <v>0</v>
      </c>
      <c r="M17" s="253">
        <v>0</v>
      </c>
      <c r="N17" s="253">
        <v>0</v>
      </c>
      <c r="O17" s="253">
        <v>0</v>
      </c>
      <c r="P17" s="189">
        <v>0</v>
      </c>
      <c r="Q17" s="138">
        <v>0</v>
      </c>
      <c r="R17" s="139">
        <v>0.04</v>
      </c>
      <c r="S17" s="140">
        <f t="shared" si="0"/>
        <v>0</v>
      </c>
      <c r="T17" s="140">
        <f t="shared" si="1"/>
        <v>0</v>
      </c>
      <c r="U17" s="140">
        <f t="shared" si="2"/>
        <v>0</v>
      </c>
      <c r="V17" s="140">
        <f t="shared" si="3"/>
        <v>0</v>
      </c>
      <c r="W17" s="140">
        <f t="shared" si="4"/>
        <v>0</v>
      </c>
      <c r="X17" s="140">
        <f t="shared" si="5"/>
        <v>0</v>
      </c>
      <c r="Y17" s="140">
        <f t="shared" si="6"/>
        <v>0</v>
      </c>
      <c r="Z17" s="224">
        <f t="shared" si="7"/>
        <v>0</v>
      </c>
      <c r="AA17" s="427"/>
      <c r="AB17" s="480"/>
    </row>
    <row r="18" spans="1:32" s="16" customFormat="1" ht="109.5" customHeight="1">
      <c r="A18" s="521"/>
      <c r="B18" s="530"/>
      <c r="C18" s="100" t="s">
        <v>765</v>
      </c>
      <c r="D18" s="532"/>
      <c r="E18" s="100" t="s">
        <v>32</v>
      </c>
      <c r="F18" s="341" t="s">
        <v>210</v>
      </c>
      <c r="G18" s="100" t="s">
        <v>35</v>
      </c>
      <c r="H18" s="125" t="s">
        <v>35</v>
      </c>
      <c r="I18" s="100">
        <v>0</v>
      </c>
      <c r="J18" s="100">
        <v>0</v>
      </c>
      <c r="K18" s="30">
        <v>0.3</v>
      </c>
      <c r="L18" s="30">
        <v>0.4</v>
      </c>
      <c r="M18" s="30">
        <v>0.5</v>
      </c>
      <c r="N18" s="30">
        <v>0.6</v>
      </c>
      <c r="O18" s="30">
        <v>0.7</v>
      </c>
      <c r="P18" s="190">
        <v>0.8</v>
      </c>
      <c r="Q18" s="138">
        <v>0</v>
      </c>
      <c r="R18" s="139">
        <v>0.04</v>
      </c>
      <c r="S18" s="140">
        <f t="shared" si="0"/>
        <v>0</v>
      </c>
      <c r="T18" s="140">
        <f t="shared" si="1"/>
        <v>0</v>
      </c>
      <c r="U18" s="140">
        <f t="shared" si="2"/>
        <v>0</v>
      </c>
      <c r="V18" s="140">
        <f t="shared" si="3"/>
        <v>0</v>
      </c>
      <c r="W18" s="140">
        <f t="shared" si="4"/>
        <v>0</v>
      </c>
      <c r="X18" s="140">
        <f t="shared" si="5"/>
        <v>0</v>
      </c>
      <c r="Y18" s="140">
        <f t="shared" si="6"/>
        <v>0</v>
      </c>
      <c r="Z18" s="224">
        <f t="shared" si="7"/>
        <v>0</v>
      </c>
      <c r="AA18" s="427"/>
      <c r="AB18" s="480"/>
    </row>
    <row r="19" spans="1:32" s="16" customFormat="1" ht="123.75" customHeight="1">
      <c r="A19" s="521"/>
      <c r="B19" s="530"/>
      <c r="C19" s="100" t="s">
        <v>766</v>
      </c>
      <c r="D19" s="532"/>
      <c r="E19" s="100" t="s">
        <v>37</v>
      </c>
      <c r="F19" s="365" t="s">
        <v>211</v>
      </c>
      <c r="G19" s="100" t="s">
        <v>35</v>
      </c>
      <c r="H19" s="125" t="s">
        <v>35</v>
      </c>
      <c r="I19" s="100" t="s">
        <v>212</v>
      </c>
      <c r="J19" s="100">
        <v>1</v>
      </c>
      <c r="K19" s="100">
        <v>1</v>
      </c>
      <c r="L19" s="100">
        <v>1</v>
      </c>
      <c r="M19" s="100">
        <v>1</v>
      </c>
      <c r="N19" s="100">
        <v>1</v>
      </c>
      <c r="O19" s="100">
        <v>1</v>
      </c>
      <c r="P19" s="189">
        <v>1</v>
      </c>
      <c r="Q19" s="138">
        <v>10000000</v>
      </c>
      <c r="R19" s="139">
        <v>0.04</v>
      </c>
      <c r="S19" s="140">
        <f t="shared" si="0"/>
        <v>10000000</v>
      </c>
      <c r="T19" s="140">
        <f t="shared" si="1"/>
        <v>10400000</v>
      </c>
      <c r="U19" s="140">
        <f t="shared" si="2"/>
        <v>10816000</v>
      </c>
      <c r="V19" s="140">
        <f t="shared" si="3"/>
        <v>11248640</v>
      </c>
      <c r="W19" s="140">
        <f t="shared" si="4"/>
        <v>11698585.6</v>
      </c>
      <c r="X19" s="140">
        <f t="shared" si="5"/>
        <v>12166529.024</v>
      </c>
      <c r="Y19" s="140">
        <f t="shared" si="6"/>
        <v>12653190.18496</v>
      </c>
      <c r="Z19" s="224">
        <f t="shared" si="7"/>
        <v>78982944.808959991</v>
      </c>
      <c r="AA19" s="427"/>
      <c r="AB19" s="480"/>
    </row>
    <row r="20" spans="1:32" s="16" customFormat="1" ht="130.5" customHeight="1">
      <c r="A20" s="521"/>
      <c r="B20" s="530"/>
      <c r="C20" s="100" t="s">
        <v>766</v>
      </c>
      <c r="D20" s="532"/>
      <c r="E20" s="100" t="s">
        <v>32</v>
      </c>
      <c r="F20" s="365" t="s">
        <v>721</v>
      </c>
      <c r="G20" s="100" t="s">
        <v>35</v>
      </c>
      <c r="H20" s="125" t="s">
        <v>35</v>
      </c>
      <c r="I20" s="100" t="s">
        <v>211</v>
      </c>
      <c r="J20" s="30">
        <v>0.2</v>
      </c>
      <c r="K20" s="30">
        <v>0.3</v>
      </c>
      <c r="L20" s="30">
        <v>0.35</v>
      </c>
      <c r="M20" s="30">
        <v>0.4</v>
      </c>
      <c r="N20" s="30">
        <v>0.5</v>
      </c>
      <c r="O20" s="30">
        <v>0.55000000000000004</v>
      </c>
      <c r="P20" s="190">
        <v>0.6</v>
      </c>
      <c r="Q20" s="138">
        <v>0</v>
      </c>
      <c r="R20" s="139">
        <v>0.04</v>
      </c>
      <c r="S20" s="140">
        <f t="shared" si="0"/>
        <v>0</v>
      </c>
      <c r="T20" s="140">
        <f t="shared" si="1"/>
        <v>0</v>
      </c>
      <c r="U20" s="140">
        <f t="shared" si="2"/>
        <v>0</v>
      </c>
      <c r="V20" s="140">
        <f t="shared" si="3"/>
        <v>0</v>
      </c>
      <c r="W20" s="140">
        <f t="shared" si="4"/>
        <v>0</v>
      </c>
      <c r="X20" s="140">
        <f t="shared" si="5"/>
        <v>0</v>
      </c>
      <c r="Y20" s="140">
        <f t="shared" si="6"/>
        <v>0</v>
      </c>
      <c r="Z20" s="224">
        <f t="shared" si="7"/>
        <v>0</v>
      </c>
      <c r="AA20" s="427"/>
      <c r="AB20" s="485"/>
    </row>
    <row r="21" spans="1:32" s="16" customFormat="1" ht="90" customHeight="1">
      <c r="A21" s="521"/>
      <c r="B21" s="530" t="s">
        <v>696</v>
      </c>
      <c r="C21" s="100" t="s">
        <v>763</v>
      </c>
      <c r="D21" s="532" t="s">
        <v>538</v>
      </c>
      <c r="E21" s="100" t="s">
        <v>37</v>
      </c>
      <c r="F21" s="365" t="s">
        <v>213</v>
      </c>
      <c r="G21" s="100" t="s">
        <v>35</v>
      </c>
      <c r="H21" s="100" t="s">
        <v>35</v>
      </c>
      <c r="I21" s="100" t="s">
        <v>209</v>
      </c>
      <c r="J21" s="100">
        <v>2</v>
      </c>
      <c r="K21" s="100">
        <v>1</v>
      </c>
      <c r="L21" s="100">
        <v>2</v>
      </c>
      <c r="M21" s="100">
        <v>1</v>
      </c>
      <c r="N21" s="100">
        <v>2</v>
      </c>
      <c r="O21" s="100">
        <v>1</v>
      </c>
      <c r="P21" s="189">
        <v>2</v>
      </c>
      <c r="Q21" s="138">
        <v>0</v>
      </c>
      <c r="R21" s="139">
        <v>0.04</v>
      </c>
      <c r="S21" s="140">
        <f t="shared" si="0"/>
        <v>0</v>
      </c>
      <c r="T21" s="140">
        <f t="shared" si="1"/>
        <v>0</v>
      </c>
      <c r="U21" s="140">
        <f t="shared" si="2"/>
        <v>0</v>
      </c>
      <c r="V21" s="140">
        <f t="shared" si="3"/>
        <v>0</v>
      </c>
      <c r="W21" s="140">
        <f t="shared" si="4"/>
        <v>0</v>
      </c>
      <c r="X21" s="140">
        <f t="shared" si="5"/>
        <v>0</v>
      </c>
      <c r="Y21" s="140">
        <f t="shared" si="6"/>
        <v>0</v>
      </c>
      <c r="Z21" s="224">
        <f t="shared" si="7"/>
        <v>0</v>
      </c>
      <c r="AA21" s="427">
        <f>SUM(Z21:Z22)</f>
        <v>0</v>
      </c>
      <c r="AB21" s="486" t="s">
        <v>673</v>
      </c>
    </row>
    <row r="22" spans="1:32" s="16" customFormat="1" ht="81.75" customHeight="1" thickBot="1">
      <c r="A22" s="520"/>
      <c r="B22" s="508"/>
      <c r="C22" s="101" t="s">
        <v>763</v>
      </c>
      <c r="D22" s="543"/>
      <c r="E22" s="101" t="s">
        <v>37</v>
      </c>
      <c r="F22" s="366" t="s">
        <v>214</v>
      </c>
      <c r="G22" s="101" t="s">
        <v>35</v>
      </c>
      <c r="H22" s="101" t="s">
        <v>35</v>
      </c>
      <c r="I22" s="101" t="s">
        <v>215</v>
      </c>
      <c r="J22" s="63">
        <v>1</v>
      </c>
      <c r="K22" s="63">
        <v>1</v>
      </c>
      <c r="L22" s="63">
        <v>1</v>
      </c>
      <c r="M22" s="63">
        <v>1</v>
      </c>
      <c r="N22" s="63">
        <v>1</v>
      </c>
      <c r="O22" s="63">
        <v>1</v>
      </c>
      <c r="P22" s="200">
        <v>1</v>
      </c>
      <c r="Q22" s="162">
        <v>0</v>
      </c>
      <c r="R22" s="144">
        <v>0.04</v>
      </c>
      <c r="S22" s="313">
        <f t="shared" si="0"/>
        <v>0</v>
      </c>
      <c r="T22" s="313">
        <f t="shared" si="1"/>
        <v>0</v>
      </c>
      <c r="U22" s="313">
        <f t="shared" si="2"/>
        <v>0</v>
      </c>
      <c r="V22" s="313">
        <f t="shared" si="3"/>
        <v>0</v>
      </c>
      <c r="W22" s="313">
        <f t="shared" si="4"/>
        <v>0</v>
      </c>
      <c r="X22" s="313">
        <f t="shared" si="5"/>
        <v>0</v>
      </c>
      <c r="Y22" s="313">
        <f t="shared" si="6"/>
        <v>0</v>
      </c>
      <c r="Z22" s="300">
        <f t="shared" si="7"/>
        <v>0</v>
      </c>
      <c r="AA22" s="418"/>
      <c r="AB22" s="481"/>
    </row>
    <row r="23" spans="1:32" s="16" customFormat="1" ht="106.5" customHeight="1">
      <c r="A23" s="519" t="s">
        <v>216</v>
      </c>
      <c r="B23" s="529" t="s">
        <v>217</v>
      </c>
      <c r="C23" s="531" t="s">
        <v>767</v>
      </c>
      <c r="D23" s="531" t="s">
        <v>541</v>
      </c>
      <c r="E23" s="99" t="s">
        <v>54</v>
      </c>
      <c r="F23" s="363" t="s">
        <v>218</v>
      </c>
      <c r="G23" s="99" t="s">
        <v>35</v>
      </c>
      <c r="H23" s="99" t="s">
        <v>35</v>
      </c>
      <c r="I23" s="99">
        <v>136</v>
      </c>
      <c r="J23" s="322" t="s">
        <v>219</v>
      </c>
      <c r="K23" s="322" t="s">
        <v>220</v>
      </c>
      <c r="L23" s="322">
        <v>0.09</v>
      </c>
      <c r="M23" s="322">
        <v>0.11</v>
      </c>
      <c r="N23" s="322">
        <v>0.13</v>
      </c>
      <c r="O23" s="322">
        <v>0.15</v>
      </c>
      <c r="P23" s="323">
        <v>0.15</v>
      </c>
      <c r="Q23" s="150">
        <v>1428000000</v>
      </c>
      <c r="R23" s="136">
        <v>0.04</v>
      </c>
      <c r="S23" s="256">
        <f>((I23*0.05)+I23)*10000000</f>
        <v>1428000000</v>
      </c>
      <c r="T23" s="256">
        <f>((I23*0.07)+I23)*10000000+(0.04*Q23)</f>
        <v>1512320000</v>
      </c>
      <c r="U23" s="256">
        <f>((I23*0.09)+I23)*10000000+(0.04*T23)</f>
        <v>1542892800</v>
      </c>
      <c r="V23" s="256">
        <f>((I23*0.11)+I23)*10000000+(0.04*U23)</f>
        <v>1571315712</v>
      </c>
      <c r="W23" s="256">
        <f>((I23*0.13)+I23)*10000000+(0.04*V23)</f>
        <v>1599652628.48</v>
      </c>
      <c r="X23" s="256">
        <f>((I23*0.15)+I23)*10000000+(0.04*W23)</f>
        <v>1627986105.1392</v>
      </c>
      <c r="Y23" s="256">
        <f>((I23*0.15)+I23)*10000000+(0.04*X23)</f>
        <v>1629119444.2055681</v>
      </c>
      <c r="Z23" s="179">
        <f t="shared" si="7"/>
        <v>10911286689.824768</v>
      </c>
      <c r="AA23" s="544">
        <f>SUM(Z23:Z25)</f>
        <v>19201888179.994625</v>
      </c>
      <c r="AB23" s="480" t="s">
        <v>670</v>
      </c>
    </row>
    <row r="24" spans="1:32" s="16" customFormat="1" ht="106.5" customHeight="1">
      <c r="A24" s="521"/>
      <c r="B24" s="530"/>
      <c r="C24" s="532"/>
      <c r="D24" s="532"/>
      <c r="E24" s="100" t="s">
        <v>54</v>
      </c>
      <c r="F24" s="341" t="s">
        <v>221</v>
      </c>
      <c r="G24" s="100" t="s">
        <v>35</v>
      </c>
      <c r="H24" s="100" t="s">
        <v>35</v>
      </c>
      <c r="I24" s="100">
        <v>44</v>
      </c>
      <c r="J24" s="40">
        <v>0.01</v>
      </c>
      <c r="K24" s="40">
        <v>0.02</v>
      </c>
      <c r="L24" s="40">
        <v>0.03</v>
      </c>
      <c r="M24" s="40">
        <v>0.04</v>
      </c>
      <c r="N24" s="40">
        <v>0.05</v>
      </c>
      <c r="O24" s="40">
        <v>0.06</v>
      </c>
      <c r="P24" s="201">
        <v>7.0000000000000007E-2</v>
      </c>
      <c r="Q24" s="142">
        <v>1111000000</v>
      </c>
      <c r="R24" s="139">
        <v>0.04</v>
      </c>
      <c r="S24" s="140">
        <f>((I24*0.01+I24)*25000000)</f>
        <v>1111000000</v>
      </c>
      <c r="T24" s="140">
        <f>((I24*0.02)+I24)*25000000+(0.04*Q24)</f>
        <v>1166440000</v>
      </c>
      <c r="U24" s="140">
        <f>((I24*0.03)+I24)*25000000+(0.04*T24)</f>
        <v>1179657600</v>
      </c>
      <c r="V24" s="140">
        <f>((I24*0.04)+I24)*25000000+(0.04*U24)</f>
        <v>1191186304</v>
      </c>
      <c r="W24" s="140">
        <f>((I24*0.05)+I24)*25000000+(0.04*V24)</f>
        <v>1202647452.1600001</v>
      </c>
      <c r="X24" s="140">
        <f>((I24*0.06)+I24)*25000000+(0.04*W24)</f>
        <v>1214105898.0864</v>
      </c>
      <c r="Y24" s="140">
        <f>((I24*0.07)+I24)*25000000+(0.04*X24)</f>
        <v>1225564235.923456</v>
      </c>
      <c r="Z24" s="302">
        <f>SUM(S24:Y24)</f>
        <v>8290601490.1698561</v>
      </c>
      <c r="AA24" s="394"/>
      <c r="AB24" s="480"/>
    </row>
    <row r="25" spans="1:32" s="16" customFormat="1" ht="102.75" customHeight="1">
      <c r="A25" s="521"/>
      <c r="B25" s="530"/>
      <c r="C25" s="97" t="s">
        <v>195</v>
      </c>
      <c r="D25" s="532"/>
      <c r="E25" s="97" t="s">
        <v>37</v>
      </c>
      <c r="F25" s="344" t="s">
        <v>429</v>
      </c>
      <c r="G25" s="97" t="s">
        <v>34</v>
      </c>
      <c r="H25" s="37" t="s">
        <v>35</v>
      </c>
      <c r="I25" s="97">
        <v>0</v>
      </c>
      <c r="J25" s="97">
        <v>2</v>
      </c>
      <c r="K25" s="97">
        <v>2</v>
      </c>
      <c r="L25" s="97">
        <v>2</v>
      </c>
      <c r="M25" s="97">
        <v>2</v>
      </c>
      <c r="N25" s="97">
        <v>2</v>
      </c>
      <c r="O25" s="97">
        <v>2</v>
      </c>
      <c r="P25" s="169">
        <v>2</v>
      </c>
      <c r="Q25" s="138">
        <v>0</v>
      </c>
      <c r="R25" s="139">
        <v>0.04</v>
      </c>
      <c r="S25" s="140">
        <f t="shared" si="0"/>
        <v>0</v>
      </c>
      <c r="T25" s="140">
        <f>IF(K25&lt;&gt;0,(IF(S25&lt;&gt;0,(S25*$R$2),($Q25*$R$2))),0)</f>
        <v>0</v>
      </c>
      <c r="U25" s="140">
        <f>IF(L25&lt;&gt;0,(IF(T25&lt;&gt;0,(T25*$R$2),(($Q25*$R$2)*$R$2))),0)</f>
        <v>0</v>
      </c>
      <c r="V25" s="140">
        <f>IF(M25&lt;&gt;0,(IF(U25&lt;&gt;0,(U25*$R$2),(($Q25*$R$2)*$R$2*$R$2))),0)</f>
        <v>0</v>
      </c>
      <c r="W25" s="140">
        <f>IF(N25&lt;&gt;0,(IF(V25&lt;&gt;0,(V25*$R$2),(($Q25*$R$2)*$R$2*$R$2*$R$2))),0)</f>
        <v>0</v>
      </c>
      <c r="X25" s="140">
        <f>IF(O25&lt;&gt;0,(IF(W25&lt;&gt;0,(W25*$R$2),(($Q25*$R$2)*$R$2*$R$2*$R$2*$R$2))),0)</f>
        <v>0</v>
      </c>
      <c r="Y25" s="140">
        <f>IF(P25&lt;&gt;0,(IF(X25&lt;&gt;0,(X25*$R$2),(($Q25*$R$2)*$R$2*$R$2*$R$2*$R$2*$R$2))),0)</f>
        <v>0</v>
      </c>
      <c r="Z25" s="302">
        <f>SUM(S25:Y25)</f>
        <v>0</v>
      </c>
      <c r="AA25" s="394"/>
      <c r="AB25" s="485"/>
    </row>
    <row r="26" spans="1:32" s="16" customFormat="1" ht="48" customHeight="1">
      <c r="A26" s="521"/>
      <c r="B26" s="530" t="s">
        <v>222</v>
      </c>
      <c r="C26" s="532" t="s">
        <v>223</v>
      </c>
      <c r="D26" s="532" t="s">
        <v>541</v>
      </c>
      <c r="E26" s="97" t="s">
        <v>37</v>
      </c>
      <c r="F26" s="365" t="s">
        <v>722</v>
      </c>
      <c r="G26" s="97" t="s">
        <v>35</v>
      </c>
      <c r="H26" s="37" t="s">
        <v>35</v>
      </c>
      <c r="I26" s="97">
        <v>0</v>
      </c>
      <c r="J26" s="333">
        <v>0</v>
      </c>
      <c r="K26" s="53">
        <v>1</v>
      </c>
      <c r="L26" s="53">
        <v>0</v>
      </c>
      <c r="M26" s="53">
        <v>0</v>
      </c>
      <c r="N26" s="53">
        <v>0</v>
      </c>
      <c r="O26" s="53">
        <v>0</v>
      </c>
      <c r="P26" s="199">
        <v>0</v>
      </c>
      <c r="Q26" s="142">
        <v>200000000</v>
      </c>
      <c r="R26" s="139">
        <v>0.04</v>
      </c>
      <c r="S26" s="140">
        <f t="shared" si="0"/>
        <v>0</v>
      </c>
      <c r="T26" s="140">
        <f>IF(K26&lt;&gt;0,(IF(S26&lt;&gt;0,(S26*$R$2),($Q26*$R$2))),0)</f>
        <v>208000000</v>
      </c>
      <c r="U26" s="140">
        <f>IF(L26&lt;&gt;0,(IF(T26&lt;&gt;0,(T26*$R$2),(($Q26*$R$2)*$R$2))),0)</f>
        <v>0</v>
      </c>
      <c r="V26" s="140">
        <f>IF(M26&lt;&gt;0,(IF(U26&lt;&gt;0,(U26*$R$2),(($Q26*$R$2)*$R$2*$R$2))),0)</f>
        <v>0</v>
      </c>
      <c r="W26" s="140">
        <f>IF(N26&lt;&gt;0,(IF(V26&lt;&gt;0,(V26*$R$2),(($Q26*$R$2)*$R$2*$R$2*$R$2))),0)</f>
        <v>0</v>
      </c>
      <c r="X26" s="140">
        <f>IF(O26&lt;&gt;0,(IF(W26&lt;&gt;0,(W26*$R$2),(($Q26*$R$2)*$R$2*$R$2*$R$2*$R$2))),0)</f>
        <v>0</v>
      </c>
      <c r="Y26" s="140">
        <f>IF(P26&lt;&gt;0,(IF(X26&lt;&gt;0,(X26*$R$2),(($Q26*$R$2)*$R$2*$R$2*$R$2*$R$2*$R$2))),0)</f>
        <v>0</v>
      </c>
      <c r="Z26" s="302">
        <f>SUM(S26:Y26)</f>
        <v>208000000</v>
      </c>
      <c r="AA26" s="394">
        <f>SUM(Z26:Z27)</f>
        <v>208000000</v>
      </c>
      <c r="AB26" s="486" t="s">
        <v>678</v>
      </c>
      <c r="AC26" s="121"/>
    </row>
    <row r="27" spans="1:32" s="16" customFormat="1" ht="57.75" customHeight="1">
      <c r="A27" s="521"/>
      <c r="B27" s="530"/>
      <c r="C27" s="532"/>
      <c r="D27" s="532"/>
      <c r="E27" s="97" t="s">
        <v>54</v>
      </c>
      <c r="F27" s="365" t="s">
        <v>723</v>
      </c>
      <c r="G27" s="97" t="s">
        <v>35</v>
      </c>
      <c r="H27" s="37" t="s">
        <v>35</v>
      </c>
      <c r="I27" s="97">
        <v>0</v>
      </c>
      <c r="J27" s="333">
        <v>0</v>
      </c>
      <c r="K27" s="30">
        <v>0</v>
      </c>
      <c r="L27" s="30">
        <v>0.5</v>
      </c>
      <c r="M27" s="30">
        <v>1</v>
      </c>
      <c r="N27" s="30">
        <v>1</v>
      </c>
      <c r="O27" s="30">
        <v>1</v>
      </c>
      <c r="P27" s="190">
        <v>1</v>
      </c>
      <c r="Q27" s="142"/>
      <c r="R27" s="139">
        <v>0.04</v>
      </c>
      <c r="S27" s="140">
        <f t="shared" si="0"/>
        <v>0</v>
      </c>
      <c r="T27" s="140">
        <f>IF(K27&lt;&gt;0,(IF(S27&lt;&gt;0,(S27*$R$2),($Q27*$R$2))),0)</f>
        <v>0</v>
      </c>
      <c r="U27" s="140">
        <f>IF(L27&lt;&gt;0,(IF(T27&lt;&gt;0,(T27*$R$2),(($Q27*$R$2)*$R$2))),0)</f>
        <v>0</v>
      </c>
      <c r="V27" s="140">
        <f>IF(M27&lt;&gt;0,(IF(U27&lt;&gt;0,(U27*$R$2),(($Q27*$R$2)*$R$2*$R$2))),0)</f>
        <v>0</v>
      </c>
      <c r="W27" s="140">
        <f>IF(N27&lt;&gt;0,(IF(V27&lt;&gt;0,(V27*$R$2),(($Q27*$R$2)*$R$2*$R$2*$R$2))),0)</f>
        <v>0</v>
      </c>
      <c r="X27" s="140">
        <f>IF(O27&lt;&gt;0,(IF(W27&lt;&gt;0,(W27*$R$2),(($Q27*$R$2)*$R$2*$R$2*$R$2*$R$2))),0)</f>
        <v>0</v>
      </c>
      <c r="Y27" s="140">
        <f>IF(P27&lt;&gt;0,(IF(X27&lt;&gt;0,(X27*$R$2),(($Q27*$R$2)*$R$2*$R$2*$R$2*$R$2*$R$2))),0)</f>
        <v>0</v>
      </c>
      <c r="Z27" s="302">
        <f>SUM(S27:Y27)</f>
        <v>0</v>
      </c>
      <c r="AA27" s="394"/>
      <c r="AB27" s="485"/>
    </row>
    <row r="28" spans="1:32" s="16" customFormat="1" ht="91.5" customHeight="1" thickBot="1">
      <c r="A28" s="522"/>
      <c r="B28" s="358" t="s">
        <v>224</v>
      </c>
      <c r="C28" s="98" t="s">
        <v>195</v>
      </c>
      <c r="D28" s="102" t="s">
        <v>541</v>
      </c>
      <c r="E28" s="98" t="s">
        <v>37</v>
      </c>
      <c r="F28" s="367" t="s">
        <v>225</v>
      </c>
      <c r="G28" s="98" t="s">
        <v>35</v>
      </c>
      <c r="H28" s="64" t="s">
        <v>35</v>
      </c>
      <c r="I28" s="98">
        <v>1</v>
      </c>
      <c r="J28" s="102">
        <v>1</v>
      </c>
      <c r="K28" s="102">
        <v>2</v>
      </c>
      <c r="L28" s="102">
        <v>2</v>
      </c>
      <c r="M28" s="102">
        <v>2</v>
      </c>
      <c r="N28" s="102">
        <v>2</v>
      </c>
      <c r="O28" s="102">
        <v>2</v>
      </c>
      <c r="P28" s="197">
        <v>2</v>
      </c>
      <c r="Q28" s="177">
        <v>30000000</v>
      </c>
      <c r="R28" s="146">
        <v>0.04</v>
      </c>
      <c r="S28" s="147">
        <f t="shared" si="0"/>
        <v>30000000</v>
      </c>
      <c r="T28" s="147">
        <f>IF(K28&lt;&gt;0,(IF(S28&lt;&gt;0,(S28*$R$2),($Q28*$R$2))),0)</f>
        <v>31200000</v>
      </c>
      <c r="U28" s="147">
        <f>IF(L28&lt;&gt;0,(IF(T28&lt;&gt;0,(T28*$R$2),(($Q28*$R$2)*$R$2))),0)</f>
        <v>32448000</v>
      </c>
      <c r="V28" s="147">
        <f>IF(M28&lt;&gt;0,(IF(U28&lt;&gt;0,(U28*$R$2),(($Q28*$R$2)*$R$2*$R$2))),0)</f>
        <v>33745920</v>
      </c>
      <c r="W28" s="147">
        <f>IF(N28&lt;&gt;0,(IF(V28&lt;&gt;0,(V28*$R$2),(($Q28*$R$2)*$R$2*$R$2*$R$2))),0)</f>
        <v>35095756.800000004</v>
      </c>
      <c r="X28" s="147">
        <f>IF(O28&lt;&gt;0,(IF(W28&lt;&gt;0,(W28*$R$2),(($Q28*$R$2)*$R$2*$R$2*$R$2*$R$2))),0)</f>
        <v>36499587.072000004</v>
      </c>
      <c r="Y28" s="147">
        <f>IF(P28&lt;&gt;0,(IF(X28&lt;&gt;0,(X28*$R$2),(($Q28*$R$2)*$R$2*$R$2*$R$2*$R$2*$R$2))),0)</f>
        <v>37959570.554880008</v>
      </c>
      <c r="Z28" s="305">
        <f>SUM(S28:Y28)</f>
        <v>236948834.42688</v>
      </c>
      <c r="AA28" s="219">
        <f>Z28</f>
        <v>236948834.42688</v>
      </c>
      <c r="AB28" s="266" t="s">
        <v>662</v>
      </c>
    </row>
    <row r="29" spans="1:32">
      <c r="C29" s="65"/>
      <c r="E29" s="28"/>
    </row>
    <row r="30" spans="1:32">
      <c r="A30" s="526"/>
      <c r="B30" s="526"/>
      <c r="C30" s="526"/>
      <c r="D30" s="526"/>
      <c r="E30" s="526"/>
      <c r="F30" s="526"/>
      <c r="G30" s="526"/>
      <c r="H30" s="526"/>
      <c r="I30" s="526"/>
      <c r="J30" s="526"/>
      <c r="K30" s="526"/>
      <c r="L30" s="526"/>
      <c r="M30" s="526"/>
      <c r="N30" s="526"/>
      <c r="O30" s="526"/>
      <c r="P30" s="526"/>
      <c r="Q30" s="326"/>
      <c r="R30" s="326"/>
      <c r="S30" s="326"/>
      <c r="T30" s="326"/>
      <c r="U30" s="326"/>
      <c r="V30" s="326"/>
      <c r="W30" s="326"/>
      <c r="X30" s="326"/>
      <c r="Y30" s="326"/>
      <c r="Z30" s="326"/>
      <c r="AA30" s="326"/>
      <c r="AB30" s="326"/>
      <c r="AC30" s="326"/>
      <c r="AD30" s="326"/>
      <c r="AE30" s="326"/>
      <c r="AF30" s="326"/>
    </row>
  </sheetData>
  <sheetProtection algorithmName="SHA-512" hashValue="cwdMyjVExgrPrfAnSJ1BpnEEx5/UfiZ9o3Cfd1jO0G/R6FKzOJbNe69/0p200YrwHip1IjVQ093srMYZ7b2YEg==" saltValue="srx2Bp8zAeQLQ2lJyjIySg==" spinCount="100000" sheet="1" objects="1" scenarios="1"/>
  <mergeCells count="44">
    <mergeCell ref="AB26:AB27"/>
    <mergeCell ref="AA26:AA27"/>
    <mergeCell ref="AB3:AB4"/>
    <mergeCell ref="AB5:AB9"/>
    <mergeCell ref="AA10:AA20"/>
    <mergeCell ref="AA21:AA22"/>
    <mergeCell ref="AA23:AA25"/>
    <mergeCell ref="AA5:AA9"/>
    <mergeCell ref="AB10:AB20"/>
    <mergeCell ref="AB21:AB22"/>
    <mergeCell ref="AB23:AB25"/>
    <mergeCell ref="Q3:Q4"/>
    <mergeCell ref="R3:R4"/>
    <mergeCell ref="S3:Y3"/>
    <mergeCell ref="Z3:Z4"/>
    <mergeCell ref="AA3:AA4"/>
    <mergeCell ref="A30:P30"/>
    <mergeCell ref="A10:A22"/>
    <mergeCell ref="B10:B20"/>
    <mergeCell ref="D10:D20"/>
    <mergeCell ref="B21:B22"/>
    <mergeCell ref="D21:D22"/>
    <mergeCell ref="A23:A28"/>
    <mergeCell ref="B23:B25"/>
    <mergeCell ref="C23:C24"/>
    <mergeCell ref="D23:D25"/>
    <mergeCell ref="B26:B27"/>
    <mergeCell ref="C26:C27"/>
    <mergeCell ref="D26:D27"/>
    <mergeCell ref="A5:A9"/>
    <mergeCell ref="B5:B9"/>
    <mergeCell ref="D5:D9"/>
    <mergeCell ref="A3:A4"/>
    <mergeCell ref="B3:B4"/>
    <mergeCell ref="C3:C4"/>
    <mergeCell ref="D3:D4"/>
    <mergeCell ref="H3:H4"/>
    <mergeCell ref="I3:I4"/>
    <mergeCell ref="J3:P3"/>
    <mergeCell ref="A2:P2"/>
    <mergeCell ref="A1:P1"/>
    <mergeCell ref="F3:F4"/>
    <mergeCell ref="G3:G4"/>
    <mergeCell ref="E3:E4"/>
  </mergeCells>
  <pageMargins left="0.7" right="0.7" top="0.75" bottom="0.75" header="0.3" footer="0.3"/>
  <pageSetup orientation="portrait" horizontalDpi="1200" verticalDpi="1200" r:id="rId1"/>
  <ignoredErrors>
    <ignoredError sqref="Z28 AA23:AA28 Z13 Z14 Z15 Z16 Z17 Z18 Z19 Z20 Z21 Z22 Z23 Z24 Z25 Z26 Z27 T27:Y27" evalError="1"/>
    <ignoredError sqref="J23:K23" numberStoredAsText="1"/>
    <ignoredError sqref="S23:Y23"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E5:E28</xm:sqref>
        </x14:dataValidation>
        <x14:dataValidation type="list" allowBlank="1" showInputMessage="1" showErrorMessage="1">
          <x14:formula1>
            <xm:f>Hoja2!$C$15:$C$17</xm:f>
          </x14:formula1>
          <xm:sqref>G5:G28</xm:sqref>
        </x14:dataValidation>
        <x14:dataValidation type="list" allowBlank="1" showInputMessage="1" showErrorMessage="1">
          <x14:formula1>
            <xm:f>Hoja2!$E$15:$E$26</xm:f>
          </x14:formula1>
          <xm:sqref>AB5:AB28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INVERSIONES</vt:lpstr>
      <vt:lpstr>COSTOS DETALLADOS</vt:lpstr>
      <vt:lpstr>EXCELENCIA ACADÉMICA</vt:lpstr>
      <vt:lpstr>CIENCIA E INVESTIGACIÓN</vt:lpstr>
      <vt:lpstr>EXTENSIÓN Y GESTIÓN SOCIAL</vt:lpstr>
      <vt:lpstr>ASEGURAMIENTO CALIDAD EDUCACIÓN</vt:lpstr>
      <vt:lpstr>INNOVACION Y PRODUCTIVIDAD </vt:lpstr>
      <vt:lpstr>EMPRENDIMIENTO, CREATIVIDAD </vt:lpstr>
      <vt:lpstr>INTERNACIONALIZACION</vt:lpstr>
      <vt:lpstr>COMUNIDAD Y CULTURA INSTITUCION</vt:lpstr>
      <vt:lpstr>DIVERSIDAD E INCLUSIÓN</vt:lpstr>
      <vt:lpstr>GOBERNABILIDAD Y GOBERNABILIDAD</vt:lpstr>
      <vt:lpstr>DESARROLLOGESTIÓNSOSTENIBILIDAD</vt:lpstr>
      <vt:lpstr>GESTIÓN INTEGRAL INSTITUCIONAL</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cp:lastModifiedBy>
  <cp:revision/>
  <dcterms:created xsi:type="dcterms:W3CDTF">2020-10-07T14:49:23Z</dcterms:created>
  <dcterms:modified xsi:type="dcterms:W3CDTF">2020-11-12T20:34:46Z</dcterms:modified>
  <cp:category/>
  <cp:contentStatus/>
</cp:coreProperties>
</file>